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2" firstSheet="6" activeTab="11"/>
  </bookViews>
  <sheets>
    <sheet name="Комплектование групп" sheetId="1" r:id="rId1"/>
    <sheet name="нагрузка,ФОТ" sheetId="2" r:id="rId2"/>
    <sheet name="з.плата АУП" sheetId="3" r:id="rId3"/>
    <sheet name="канализация ЖБО" sheetId="4" r:id="rId4"/>
    <sheet name="электроснабжение" sheetId="5" r:id="rId5"/>
    <sheet name="отопление" sheetId="6" r:id="rId6"/>
    <sheet name="водоснабжение" sheetId="7" r:id="rId7"/>
    <sheet name="расходные материалы" sheetId="8" r:id="rId8"/>
    <sheet name="Калькуляция" sheetId="9" r:id="rId9"/>
    <sheet name="штатное рассписание" sheetId="10" r:id="rId10"/>
    <sheet name="Тарифы" sheetId="11" r:id="rId11"/>
    <sheet name="Расчет амортизации" sheetId="12" r:id="rId12"/>
  </sheets>
  <definedNames>
    <definedName name="_xlnm.Print_Area" localSheetId="6">'водоснабжение'!$A$1:$H$27</definedName>
    <definedName name="_xlnm.Print_Area" localSheetId="0">'Комплектование групп'!$A$1:$F$39</definedName>
  </definedNames>
  <calcPr fullCalcOnLoad="1" fullPrecision="0"/>
</workbook>
</file>

<file path=xl/comments2.xml><?xml version="1.0" encoding="utf-8"?>
<comments xmlns="http://schemas.openxmlformats.org/spreadsheetml/2006/main">
  <authors>
    <author>Б</author>
  </authors>
  <commentList>
    <comment ref="A2" authorId="0">
      <text>
        <r>
          <rPr>
            <b/>
            <sz val="10"/>
            <rFont val="Tahoma"/>
            <family val="2"/>
          </rPr>
          <t>действующий на момент расчета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19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20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comments5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19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20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comments6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19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20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comments7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19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  <comment ref="H20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sharedStrings.xml><?xml version="1.0" encoding="utf-8"?>
<sst xmlns="http://schemas.openxmlformats.org/spreadsheetml/2006/main" count="515" uniqueCount="257">
  <si>
    <t>Итого</t>
  </si>
  <si>
    <t xml:space="preserve"> </t>
  </si>
  <si>
    <t>№ п/п</t>
  </si>
  <si>
    <t>Всего</t>
  </si>
  <si>
    <t>Вид затрат и статьи расходов</t>
  </si>
  <si>
    <t>Наименование должности</t>
  </si>
  <si>
    <t>Количество штатных единиц</t>
  </si>
  <si>
    <t>Коэффицент группы персонала</t>
  </si>
  <si>
    <t>Оклад (должностной оклад), ставка заработной платы с учетом коэффициента группы персонала</t>
  </si>
  <si>
    <t>итого по учебно-вспомогательному персоналу</t>
  </si>
  <si>
    <t>итого по младшему обслуживающему</t>
  </si>
  <si>
    <t xml:space="preserve"> учебно-вспомогательный персонал</t>
  </si>
  <si>
    <t>ИТОГО</t>
  </si>
  <si>
    <t xml:space="preserve">всего  часов в неделю </t>
  </si>
  <si>
    <t>оклад (ставка * коэффициент по приказу)</t>
  </si>
  <si>
    <t>Наименование  услуги</t>
  </si>
  <si>
    <t>ПРЯМЫЕ ЗАТРАТЫ</t>
  </si>
  <si>
    <t xml:space="preserve">Заработная плата педагогического персонала </t>
  </si>
  <si>
    <t>КОСВЕННЫЕ ЗАТРАТЫ</t>
  </si>
  <si>
    <t>Заработная плата административно-управленческого и обслуживающего персонала</t>
  </si>
  <si>
    <t>Тариф 1 чел/час (без НДС)</t>
  </si>
  <si>
    <t>Ед-ца изм.</t>
  </si>
  <si>
    <t>младший обслужививающий персонал</t>
  </si>
  <si>
    <t>административно-управленческий персонал</t>
  </si>
  <si>
    <t>Сумма, руб.</t>
  </si>
  <si>
    <t>Увеличение стоимости материальных запасов</t>
  </si>
  <si>
    <t>Кол-во групп</t>
  </si>
  <si>
    <t>прожиточный минимум трудоспособного населения</t>
  </si>
  <si>
    <t>часов в неделю на 1 группу</t>
  </si>
  <si>
    <t>Всего оплата в месяц</t>
  </si>
  <si>
    <t>Электроснабжение</t>
  </si>
  <si>
    <t>1 группа (чел.)</t>
  </si>
  <si>
    <t>Кол-во обуч.</t>
  </si>
  <si>
    <t>Наименование услуги</t>
  </si>
  <si>
    <t>*</t>
  </si>
  <si>
    <t>Себестоимость</t>
  </si>
  <si>
    <t>Стоимость с рентабельностью</t>
  </si>
  <si>
    <t>Планируемое кол-во человеко-часов</t>
  </si>
  <si>
    <t>Наименование (вид) услуги</t>
  </si>
  <si>
    <t>Тариф, руб. (без НДС)</t>
  </si>
  <si>
    <t xml:space="preserve">Прочие расходы </t>
  </si>
  <si>
    <t>стоимость одного часа</t>
  </si>
  <si>
    <t xml:space="preserve">всего з/пл. за всю программу </t>
  </si>
  <si>
    <t>кол-во уч недель</t>
  </si>
  <si>
    <t>образовательные услуги</t>
  </si>
  <si>
    <t>Заработная плата за весь период</t>
  </si>
  <si>
    <t xml:space="preserve">Процент от должностного оклада </t>
  </si>
  <si>
    <t>Единица платной услуги</t>
  </si>
  <si>
    <t>итого АУП</t>
  </si>
  <si>
    <t>ВСЕГО</t>
  </si>
  <si>
    <t>Период оказания услуг          (в месяцах)</t>
  </si>
  <si>
    <t xml:space="preserve">Природный газ </t>
  </si>
  <si>
    <t>Транспортировка газа</t>
  </si>
  <si>
    <t>Отопление</t>
  </si>
  <si>
    <t>руб</t>
  </si>
  <si>
    <t>Площадь здания</t>
  </si>
  <si>
    <t>стоимость содержания одного квадратного метра площади здания в месяц</t>
  </si>
  <si>
    <t>Площадь помещения</t>
  </si>
  <si>
    <t>Количество детей, пользующихся основной образовательной услугой</t>
  </si>
  <si>
    <t>Количество детей, занимающихся в платной группе</t>
  </si>
  <si>
    <t>Стоимость затрат на одного ребенка</t>
  </si>
  <si>
    <t>Прочие услуги (0,3 % за обслуживание пластиковых карт)</t>
  </si>
  <si>
    <t xml:space="preserve">Тариф 1 занятия </t>
  </si>
  <si>
    <t>9=8/7</t>
  </si>
  <si>
    <t>надбавка  за категорию сада</t>
  </si>
  <si>
    <t xml:space="preserve">кол-во часов освоения учебной программы в год  </t>
  </si>
  <si>
    <t>Прибыль от платной деятельности, руб.</t>
  </si>
  <si>
    <t>13 =1+5</t>
  </si>
  <si>
    <t>16=15+14</t>
  </si>
  <si>
    <t>18=16/17</t>
  </si>
  <si>
    <t>19 = 18стр*продолжительность знятия с учебного плана / 60 мин)</t>
  </si>
  <si>
    <t>9=стоимость одного педагогического часа педагога за одного ребенка * кол - во детей в группе*кол - во часов по учебной программе</t>
  </si>
  <si>
    <t>Должность</t>
  </si>
  <si>
    <t>6= зарп АУП за по учебной программе/педнагрузку по всем программам *кол - во часов по данной программе</t>
  </si>
  <si>
    <t>11=(9+10)*6</t>
  </si>
  <si>
    <t>УТВЕРЖДЕНО</t>
  </si>
  <si>
    <t>СОГЛАСОВАНО</t>
  </si>
  <si>
    <t>Начальник управления образования</t>
  </si>
  <si>
    <t>администрации муниципального образования</t>
  </si>
  <si>
    <t>Выселковский район</t>
  </si>
  <si>
    <t>"_____" ____________ 20__г.</t>
  </si>
  <si>
    <t>7 = 18часов *247/5дн/12 мес</t>
  </si>
  <si>
    <t>Канализация,ЖБО</t>
  </si>
  <si>
    <t>Водоснабжение</t>
  </si>
  <si>
    <t>Начисления на оплату труда (30,2%)</t>
  </si>
  <si>
    <t>Начисления на оплату труда (30,2 %)</t>
  </si>
  <si>
    <t>шт</t>
  </si>
  <si>
    <t xml:space="preserve">Рентабельность </t>
  </si>
  <si>
    <t>Минимальный размер оклада , ставки заработной платы</t>
  </si>
  <si>
    <t>электроэнергия</t>
  </si>
  <si>
    <t>водоснабжение</t>
  </si>
  <si>
    <t>канализация ЖБО</t>
  </si>
  <si>
    <t>УТВЕРЖДЕНО:</t>
  </si>
  <si>
    <t>Штат в количестве</t>
  </si>
  <si>
    <t xml:space="preserve">с месячным фондом заработной платы </t>
  </si>
  <si>
    <t xml:space="preserve">                (подпись руководителя)</t>
  </si>
  <si>
    <t xml:space="preserve">ШТАТНОЕ РАСПИСАНИЕ </t>
  </si>
  <si>
    <t>(полное название учреждения)</t>
  </si>
  <si>
    <t>Кол-во штатных единиц</t>
  </si>
  <si>
    <t>Всего в месяц на все ставки</t>
  </si>
  <si>
    <t>за квалификационную категорию</t>
  </si>
  <si>
    <t xml:space="preserve">  Административно-управленческий персонал</t>
  </si>
  <si>
    <t>Итого АУП:</t>
  </si>
  <si>
    <t xml:space="preserve">Педагогический персонал осуществляющий учебный процесс </t>
  </si>
  <si>
    <t>Итого пед.персонал:</t>
  </si>
  <si>
    <t>Прочий пед персонал</t>
  </si>
  <si>
    <t>Педагог дополнительного образования</t>
  </si>
  <si>
    <t>Итого прочий пед пероснал</t>
  </si>
  <si>
    <t>х</t>
  </si>
  <si>
    <t>Учебно - вспомогательный персонал</t>
  </si>
  <si>
    <t>Итого УВП</t>
  </si>
  <si>
    <t>Младший обслуживающий персонал</t>
  </si>
  <si>
    <t>Итого МОП</t>
  </si>
  <si>
    <t>Руководитель</t>
  </si>
  <si>
    <t>Оклад по основной должности</t>
  </si>
  <si>
    <t>Минимальный размер оклада (величина прожиточного минимума для трудоспособного населения Краснодарского края), ставки заработной платы</t>
  </si>
  <si>
    <t>Коэффициент кратности, величины прожиточного минимума</t>
  </si>
  <si>
    <t xml:space="preserve">Оклад (должностной оклад), ставка заработной платы с учетом коэффициента кратности, величины прожиточного минимума </t>
  </si>
  <si>
    <t xml:space="preserve">стимулирующая выплата </t>
  </si>
  <si>
    <t>за индивидуальное обучение</t>
  </si>
  <si>
    <t>компенсационная выплата</t>
  </si>
  <si>
    <t>на предоставление платных дополнительных образовательных и иных услуг</t>
  </si>
  <si>
    <t>Итого:</t>
  </si>
  <si>
    <r>
      <t xml:space="preserve">Коммунальные услуги                             </t>
    </r>
    <r>
      <rPr>
        <sz val="9"/>
        <rFont val="Times New Roman"/>
        <family val="1"/>
      </rPr>
      <t xml:space="preserve"> в том числе:</t>
    </r>
  </si>
  <si>
    <t>* справочно: Доплата руководителю за одного ребенка =стр 7/стр 17</t>
  </si>
  <si>
    <t>* справочно: зарплата педагогического работника за одного ребенка = стр.2/стр 17/60 мин* продолж занятия</t>
  </si>
  <si>
    <t>15 = 13*14</t>
  </si>
  <si>
    <t>Всего затраты</t>
  </si>
  <si>
    <t>з/п с начислениями</t>
  </si>
  <si>
    <t>комунальные услуги</t>
  </si>
  <si>
    <t>Материальные затраты</t>
  </si>
  <si>
    <t>Компенсация при увольнении</t>
  </si>
  <si>
    <t>Итого (не более 50% от ФОТ ПДО)</t>
  </si>
  <si>
    <t xml:space="preserve">Заведующий МБДОУ ДС №12 </t>
  </si>
  <si>
    <t>С.В. Поботина</t>
  </si>
  <si>
    <t>Офисная бумага</t>
  </si>
  <si>
    <t>Тетрадь в крупную клетку</t>
  </si>
  <si>
    <t>Ластик</t>
  </si>
  <si>
    <t xml:space="preserve">шт </t>
  </si>
  <si>
    <t>Линейка</t>
  </si>
  <si>
    <t>Пластиковые конверты</t>
  </si>
  <si>
    <t>Методическое пособие</t>
  </si>
  <si>
    <t>Заправка катриджа</t>
  </si>
  <si>
    <t>Файлы</t>
  </si>
  <si>
    <t>уп</t>
  </si>
  <si>
    <t>Цветная бумага</t>
  </si>
  <si>
    <t>Скотч</t>
  </si>
  <si>
    <t>Клей</t>
  </si>
  <si>
    <t>Папка скоросшиватель</t>
  </si>
  <si>
    <t>Конспекты занятий</t>
  </si>
  <si>
    <t xml:space="preserve">Планируемое количество обучающихся (воспитанников) по платным дополнительным образовательным и иным услугам, оказываемым                             </t>
  </si>
  <si>
    <t xml:space="preserve">Расчет расходов за месяц на коммунальные услуги по платным дополнительным образовательным и иным услугам, оказываемым в </t>
  </si>
  <si>
    <t>Год</t>
  </si>
  <si>
    <t>П Е Р Е Ч Е Н Ь</t>
  </si>
  <si>
    <t xml:space="preserve"> прямых и косвенных материальных затрат по платным дополнительным образовательным и иным услугам                                                   </t>
  </si>
  <si>
    <t>Наименование услуги:</t>
  </si>
  <si>
    <t>Прибыль</t>
  </si>
  <si>
    <t>К А Л Ь К У Л Я Ц И Я</t>
  </si>
  <si>
    <t>от __________________________№__________</t>
  </si>
  <si>
    <t>Приложение №____ к приказу МБДОУ ДС №12</t>
  </si>
  <si>
    <t>СОГЛАСОВАНО:</t>
  </si>
  <si>
    <t xml:space="preserve">предлагаемых к устанавлению тарифов по платным дополнительным образовательным и иным  услугам, оказываемым </t>
  </si>
  <si>
    <t xml:space="preserve">Нагрузка на одного педагога  </t>
  </si>
  <si>
    <t>17 = кол - во часов  по учебной программе час*кол чел в группе</t>
  </si>
  <si>
    <t>Ноутбук</t>
  </si>
  <si>
    <t>Образовательная программа  и пособия</t>
  </si>
  <si>
    <t>наименование</t>
  </si>
  <si>
    <t>кол-во</t>
  </si>
  <si>
    <t>ед.изм.</t>
  </si>
  <si>
    <t>цена</t>
  </si>
  <si>
    <t>сумма</t>
  </si>
  <si>
    <t>занятие (25 минут)</t>
  </si>
  <si>
    <t xml:space="preserve">Годовое количество часов по программе (рабочих) </t>
  </si>
  <si>
    <t>Расчет суммы начисленной амортизации оборудования  используемого при предоставлении</t>
  </si>
  <si>
    <t>Наименование оборудования</t>
  </si>
  <si>
    <t>Балансовая стоимость (руб.)</t>
  </si>
  <si>
    <t>Срок полезного использования оборудования (мес.)</t>
  </si>
  <si>
    <t>Месячная норма износа (%) (100/гр.4)</t>
  </si>
  <si>
    <t>Срок использования оборудования в процессе оказания платной услуги (мес)</t>
  </si>
  <si>
    <t>Сумма начисленной амортизации (руб.) (7=3*5)</t>
  </si>
  <si>
    <t xml:space="preserve">МБДОУ ДС №12                 </t>
  </si>
  <si>
    <t>Расходы на амортизацию основных средств</t>
  </si>
  <si>
    <t>Мультимедийный проектор</t>
  </si>
  <si>
    <t>среднемесячное количество рабочих часов в 2019 году</t>
  </si>
  <si>
    <t xml:space="preserve"> платной образовательной и иной услуги  на 2019-2020 учебный год </t>
  </si>
  <si>
    <t xml:space="preserve"> МБДОУ ДС №12  на 2019-2020 учебный год</t>
  </si>
  <si>
    <t>8=12298*3</t>
  </si>
  <si>
    <t>Цветной картон</t>
  </si>
  <si>
    <t>Папка на кольцах</t>
  </si>
  <si>
    <t>_______________________ Л.А. Семина</t>
  </si>
  <si>
    <t>ВСЕГО, руб. (индекс инфляции 1,15)</t>
  </si>
  <si>
    <t>в 2022 - 2023 учебном году</t>
  </si>
  <si>
    <t xml:space="preserve"> платной образовательной и иной услуги  на 2022-2023 учебный год </t>
  </si>
  <si>
    <t>Цветные карандаши</t>
  </si>
  <si>
    <t>Пленка для ламинирования</t>
  </si>
  <si>
    <t>И.о.зам.главного бухгалтера:</t>
  </si>
  <si>
    <t>Г.О. Епикова</t>
  </si>
  <si>
    <t>Директор</t>
  </si>
  <si>
    <t>А.А. Андреев</t>
  </si>
  <si>
    <t>Кружок «Предшкольная подготовка»</t>
  </si>
  <si>
    <t>Кружок "Испанский язык."</t>
  </si>
  <si>
    <t xml:space="preserve">Кружок "Черлидинг" </t>
  </si>
  <si>
    <t>Кружок "Родительский клуб «Навстречу друг к другу»."</t>
  </si>
  <si>
    <t>МАОУ СОШ № 3 им. С.В.Дубинского ст. Березанской  на 2022-2023 учебный год</t>
  </si>
  <si>
    <t>СВОДНЫЕ ДАННЫЕ ПО НАГРУЗКЕ ПЕДАГОГОВ, ОКАЗЫВАЮЩИХ ПЛАТНЫЕ ДОПОЛНИТЕЛЬНЫЕ ОБРАЗОВАТЕЛЬНЫЕ  И ИНЫЕ  УСЛУГИ  ПО МАОУ СОШ № 3 им. С.В.Дубинского ст. Березанской  В 2022-2023 УЧЕБНОМ ГОДУ</t>
  </si>
  <si>
    <t>Расчет заработной платы административно-хозяйственного персонала, участвующего в оказании платных дополнительных образовательных услуг в 2022 - 2023 учебном году МАОУ СОШ № 3 им. С.В.Дубинского ст. Березанской</t>
  </si>
  <si>
    <t>МАОУ СОШ № 3 им. С.В.Дубинского ст. Березанской на 2022-2023 учебный год</t>
  </si>
  <si>
    <t xml:space="preserve">МАОУ СОШ № 3 им. С.В.Дубинского ст. Березанской                 </t>
  </si>
  <si>
    <t>по состоянию на 1 сентября  2022 года</t>
  </si>
  <si>
    <t>Доплата директора</t>
  </si>
  <si>
    <t>Кабинет № 6</t>
  </si>
  <si>
    <t>Кабинет № 7</t>
  </si>
  <si>
    <t>Спортивный зал</t>
  </si>
  <si>
    <t>Кабинет № 8</t>
  </si>
  <si>
    <t>учитель</t>
  </si>
  <si>
    <t>Среднемесячное количество рабочих часов учитель  (с учебного плана часы в месяц)</t>
  </si>
  <si>
    <t>стоимость 1  педагогического часа учителя, руб. за одного ребенка</t>
  </si>
  <si>
    <t>доплата директору</t>
  </si>
  <si>
    <t xml:space="preserve">Муниципальное автономное общеобразовательное учреждение средняя общеобразовательная школа № 3 имени Семёна Васильевича Дубинского станицы Березанской муниципального образования Выселковский район </t>
  </si>
  <si>
    <t>педагог дополнительного образования</t>
  </si>
  <si>
    <t>стоимость 1  педагогического часа психолога, руб. за одного ребенка</t>
  </si>
  <si>
    <t>Среднемесячное количество рабочих часов педагога дополнительного образования (с учебного плана часы в месяц)</t>
  </si>
  <si>
    <t>Среднемесячное количество рабочих часов психолога (с учебного плана часы в месяц)</t>
  </si>
  <si>
    <t>стоимость 1  педагогического часа педагога дополнительного образования, руб. за одного ребенка</t>
  </si>
  <si>
    <t>бумага для офисной техники (белая)</t>
  </si>
  <si>
    <t>пачек</t>
  </si>
  <si>
    <t>карандаши цветные</t>
  </si>
  <si>
    <t>шт.</t>
  </si>
  <si>
    <t>папка для бумаг картонная</t>
  </si>
  <si>
    <t>бумага для офисной техники (цветная)</t>
  </si>
  <si>
    <t>пачки</t>
  </si>
  <si>
    <t>клей-карандаш</t>
  </si>
  <si>
    <t>линейка</t>
  </si>
  <si>
    <t>ластик</t>
  </si>
  <si>
    <t>бумага для записей с липким слоем</t>
  </si>
  <si>
    <t>степлер</t>
  </si>
  <si>
    <t>тетрадь в клетку</t>
  </si>
  <si>
    <t>текстовыделители</t>
  </si>
  <si>
    <t>уп.</t>
  </si>
  <si>
    <t>набор файлов (100шт.)</t>
  </si>
  <si>
    <t>ручка "Пилот" синяя</t>
  </si>
  <si>
    <t>А.А.Андреев</t>
  </si>
  <si>
    <t>(56дн.отп./12мес.*9мес.)=число дней компенсации;(29,3*9мес.)=коф.;комп.=ст.2/коф.*кол.дней</t>
  </si>
  <si>
    <t>Учитель</t>
  </si>
  <si>
    <t>Педагог-психолог</t>
  </si>
  <si>
    <t>педагог-психолог</t>
  </si>
  <si>
    <t xml:space="preserve">Демонстрационный материал </t>
  </si>
  <si>
    <t>карандаши простые</t>
  </si>
  <si>
    <t>Простые карандаши</t>
  </si>
  <si>
    <t>Учебники</t>
  </si>
  <si>
    <t>скакалка</t>
  </si>
  <si>
    <t xml:space="preserve">Директор </t>
  </si>
  <si>
    <t xml:space="preserve">Приложение №____ к приказу МАОУ СОШ № 3 </t>
  </si>
  <si>
    <t>Директор МАОУ СОШ № 3</t>
  </si>
  <si>
    <t>______________________А.А.Андреев</t>
  </si>
  <si>
    <t>"______" _______________ 2022 г</t>
  </si>
  <si>
    <t>"_____" _________________ 2022г.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</si>
</sst>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#,##0.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0.00000000"/>
    <numFmt numFmtId="202" formatCode="0.0%"/>
    <numFmt numFmtId="203" formatCode="#,##0_ ;\-#,##0\ "/>
    <numFmt numFmtId="204" formatCode="#,##0&quot;р.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>
      <alignment/>
      <protection/>
    </xf>
    <xf numFmtId="2" fontId="6" fillId="0" borderId="10" xfId="0" applyNumberFormat="1" applyFont="1" applyBorder="1" applyAlignment="1">
      <alignment wrapText="1"/>
    </xf>
    <xf numFmtId="0" fontId="7" fillId="0" borderId="0" xfId="57" applyFont="1" applyAlignment="1">
      <alignment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horizontal="left" vertical="center" wrapText="1"/>
      <protection/>
    </xf>
    <xf numFmtId="2" fontId="8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57" applyNumberFormat="1" applyFont="1" applyFill="1" applyBorder="1" applyAlignment="1">
      <alignment vertical="center" wrapText="1"/>
      <protection/>
    </xf>
    <xf numFmtId="9" fontId="7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10" xfId="56" applyFont="1" applyFill="1" applyBorder="1" applyAlignment="1">
      <alignment wrapText="1"/>
      <protection/>
    </xf>
    <xf numFmtId="2" fontId="6" fillId="3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12" fillId="0" borderId="0" xfId="57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2" fontId="7" fillId="0" borderId="0" xfId="57" applyNumberFormat="1" applyFont="1" applyFill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2" fontId="12" fillId="0" borderId="10" xfId="57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2" fontId="12" fillId="0" borderId="0" xfId="57" applyNumberFormat="1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vertical="center" wrapText="1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57" applyNumberFormat="1" applyFont="1" applyFill="1" applyAlignment="1">
      <alignment horizontal="center" vertical="center" wrapText="1"/>
      <protection/>
    </xf>
    <xf numFmtId="1" fontId="17" fillId="0" borderId="10" xfId="57" applyNumberFormat="1" applyFont="1" applyFill="1" applyBorder="1" applyAlignment="1">
      <alignment horizontal="center" vertical="center" wrapText="1"/>
      <protection/>
    </xf>
    <xf numFmtId="1" fontId="20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49" fontId="5" fillId="0" borderId="0" xfId="56" applyNumberFormat="1" applyFont="1" applyFill="1" applyAlignment="1">
      <alignment/>
      <protection/>
    </xf>
    <xf numFmtId="2" fontId="5" fillId="0" borderId="0" xfId="57" applyNumberFormat="1" applyFont="1" applyFill="1" applyAlignment="1">
      <alignment vertical="center" wrapText="1"/>
      <protection/>
    </xf>
    <xf numFmtId="0" fontId="21" fillId="0" borderId="10" xfId="56" applyFont="1" applyFill="1" applyBorder="1" applyAlignment="1">
      <alignment horizontal="center"/>
      <protection/>
    </xf>
    <xf numFmtId="1" fontId="8" fillId="0" borderId="10" xfId="57" applyNumberFormat="1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center"/>
      <protection/>
    </xf>
    <xf numFmtId="1" fontId="5" fillId="0" borderId="10" xfId="56" applyNumberFormat="1" applyFont="1" applyFill="1" applyBorder="1">
      <alignment/>
      <protection/>
    </xf>
    <xf numFmtId="2" fontId="5" fillId="0" borderId="10" xfId="56" applyNumberFormat="1" applyFont="1" applyFill="1" applyBorder="1">
      <alignment/>
      <protection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8" fillId="0" borderId="13" xfId="57" applyNumberFormat="1" applyFont="1" applyFill="1" applyBorder="1" applyAlignment="1">
      <alignment vertical="center" wrapText="1"/>
      <protection/>
    </xf>
    <xf numFmtId="2" fontId="7" fillId="0" borderId="14" xfId="57" applyNumberFormat="1" applyFont="1" applyFill="1" applyBorder="1" applyAlignment="1">
      <alignment horizontal="center" vertical="center" wrapText="1"/>
      <protection/>
    </xf>
    <xf numFmtId="195" fontId="7" fillId="0" borderId="10" xfId="57" applyNumberFormat="1" applyFont="1" applyBorder="1" applyAlignment="1">
      <alignment vertical="center" wrapText="1"/>
      <protection/>
    </xf>
    <xf numFmtId="195" fontId="7" fillId="0" borderId="13" xfId="57" applyNumberFormat="1" applyFont="1" applyBorder="1" applyAlignment="1">
      <alignment vertical="center" wrapText="1"/>
      <protection/>
    </xf>
    <xf numFmtId="195" fontId="12" fillId="0" borderId="10" xfId="57" applyNumberFormat="1" applyFont="1" applyBorder="1" applyAlignment="1">
      <alignment vertical="center" wrapText="1"/>
      <protection/>
    </xf>
    <xf numFmtId="195" fontId="12" fillId="0" borderId="10" xfId="57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5" fillId="0" borderId="0" xfId="57" applyNumberFormat="1" applyFont="1" applyFill="1" applyAlignment="1">
      <alignment horizontal="left" vertical="center" wrapText="1"/>
      <protection/>
    </xf>
    <xf numFmtId="2" fontId="5" fillId="0" borderId="0" xfId="57" applyNumberFormat="1" applyFont="1" applyFill="1" applyAlignment="1">
      <alignment horizontal="center" vertical="center" wrapText="1"/>
      <protection/>
    </xf>
    <xf numFmtId="2" fontId="17" fillId="0" borderId="10" xfId="57" applyNumberFormat="1" applyFont="1" applyFill="1" applyBorder="1" applyAlignment="1">
      <alignment horizontal="left" vertical="center" wrapText="1"/>
      <protection/>
    </xf>
    <xf numFmtId="2" fontId="17" fillId="0" borderId="10" xfId="57" applyNumberFormat="1" applyFont="1" applyFill="1" applyBorder="1" applyAlignment="1">
      <alignment horizontal="center" vertical="center" wrapText="1"/>
      <protection/>
    </xf>
    <xf numFmtId="2" fontId="17" fillId="0" borderId="0" xfId="57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5" fillId="36" borderId="0" xfId="0" applyFont="1" applyFill="1" applyBorder="1" applyAlignment="1">
      <alignment horizontal="right"/>
    </xf>
    <xf numFmtId="0" fontId="27" fillId="35" borderId="10" xfId="0" applyFont="1" applyFill="1" applyBorder="1" applyAlignment="1">
      <alignment/>
    </xf>
    <xf numFmtId="2" fontId="27" fillId="35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2" fontId="27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2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5" fillId="0" borderId="0" xfId="0" applyFont="1" applyBorder="1" applyAlignment="1">
      <alignment horizontal="left" vertical="top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 wrapText="1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left" wrapText="1"/>
    </xf>
    <xf numFmtId="0" fontId="15" fillId="39" borderId="10" xfId="0" applyFont="1" applyFill="1" applyBorder="1" applyAlignment="1">
      <alignment horizontal="center" vertical="center" wrapText="1"/>
    </xf>
    <xf numFmtId="0" fontId="7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15" fillId="0" borderId="10" xfId="0" applyFont="1" applyFill="1" applyBorder="1" applyAlignment="1">
      <alignment horizontal="center" vertical="center" wrapText="1"/>
    </xf>
    <xf numFmtId="2" fontId="5" fillId="0" borderId="0" xfId="56" applyNumberFormat="1" applyFont="1" applyFill="1" applyAlignment="1">
      <alignment horizontal="center"/>
      <protection/>
    </xf>
    <xf numFmtId="9" fontId="5" fillId="0" borderId="0" xfId="56" applyNumberFormat="1" applyFont="1" applyFill="1" applyAlignment="1">
      <alignment horizontal="center"/>
      <protection/>
    </xf>
    <xf numFmtId="191" fontId="5" fillId="0" borderId="0" xfId="56" applyNumberFormat="1" applyFont="1" applyFill="1" applyAlignment="1">
      <alignment horizontal="center"/>
      <protection/>
    </xf>
    <xf numFmtId="2" fontId="7" fillId="37" borderId="1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56" applyFont="1" applyFill="1" applyAlignment="1">
      <alignment/>
      <protection/>
    </xf>
    <xf numFmtId="0" fontId="5" fillId="0" borderId="0" xfId="56" applyFont="1" applyFill="1" applyAlignment="1">
      <alignment horizontal="right"/>
      <protection/>
    </xf>
    <xf numFmtId="0" fontId="7" fillId="0" borderId="0" xfId="56" applyFont="1" applyFill="1" applyAlignment="1">
      <alignment horizontal="center"/>
      <protection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" fontId="7" fillId="38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3" fontId="7" fillId="38" borderId="10" xfId="0" applyNumberFormat="1" applyFont="1" applyFill="1" applyBorder="1" applyAlignment="1">
      <alignment horizontal="center"/>
    </xf>
    <xf numFmtId="191" fontId="8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vertical="center" wrapText="1"/>
      <protection/>
    </xf>
    <xf numFmtId="0" fontId="66" fillId="0" borderId="15" xfId="55" applyFont="1" applyBorder="1" applyAlignment="1">
      <alignment horizontal="left"/>
      <protection/>
    </xf>
    <xf numFmtId="0" fontId="66" fillId="0" borderId="16" xfId="55" applyFont="1" applyBorder="1" applyAlignment="1">
      <alignment horizontal="left"/>
      <protection/>
    </xf>
    <xf numFmtId="0" fontId="66" fillId="0" borderId="13" xfId="55" applyFont="1" applyBorder="1" applyAlignment="1">
      <alignment horizontal="left"/>
      <protection/>
    </xf>
    <xf numFmtId="2" fontId="7" fillId="38" borderId="10" xfId="0" applyNumberFormat="1" applyFont="1" applyFill="1" applyBorder="1" applyAlignment="1">
      <alignment horizontal="center"/>
    </xf>
    <xf numFmtId="0" fontId="66" fillId="0" borderId="15" xfId="55" applyFont="1" applyBorder="1" applyAlignment="1">
      <alignment horizontal="left"/>
      <protection/>
    </xf>
    <xf numFmtId="0" fontId="66" fillId="0" borderId="16" xfId="55" applyFont="1" applyBorder="1" applyAlignment="1">
      <alignment horizontal="left"/>
      <protection/>
    </xf>
    <xf numFmtId="0" fontId="66" fillId="0" borderId="13" xfId="55" applyFont="1" applyBorder="1" applyAlignment="1">
      <alignment horizontal="left"/>
      <protection/>
    </xf>
    <xf numFmtId="0" fontId="66" fillId="0" borderId="15" xfId="55" applyFont="1" applyBorder="1" applyAlignment="1">
      <alignment horizontal="left"/>
      <protection/>
    </xf>
    <xf numFmtId="0" fontId="66" fillId="0" borderId="16" xfId="55" applyFont="1" applyBorder="1" applyAlignment="1">
      <alignment horizontal="left"/>
      <protection/>
    </xf>
    <xf numFmtId="0" fontId="66" fillId="0" borderId="13" xfId="55" applyFont="1" applyBorder="1" applyAlignment="1">
      <alignment horizontal="left"/>
      <protection/>
    </xf>
    <xf numFmtId="0" fontId="49" fillId="0" borderId="0" xfId="55">
      <alignment/>
      <protection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4" xfId="56" applyFont="1" applyFill="1" applyBorder="1" applyAlignment="1">
      <alignment horizontal="center" vertical="center" textRotation="90" wrapText="1"/>
      <protection/>
    </xf>
    <xf numFmtId="0" fontId="5" fillId="0" borderId="17" xfId="0" applyFont="1" applyFill="1" applyBorder="1" applyAlignment="1">
      <alignment textRotation="90"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center" vertical="center" wrapText="1"/>
      <protection/>
    </xf>
    <xf numFmtId="0" fontId="10" fillId="34" borderId="16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center" vertical="center" textRotation="90" wrapText="1"/>
      <protection/>
    </xf>
    <xf numFmtId="0" fontId="6" fillId="0" borderId="17" xfId="0" applyFont="1" applyFill="1" applyBorder="1" applyAlignment="1">
      <alignment textRotation="90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14" xfId="57" applyFont="1" applyBorder="1" applyAlignment="1">
      <alignment horizontal="center" vertical="center" wrapText="1"/>
      <protection/>
    </xf>
    <xf numFmtId="0" fontId="12" fillId="0" borderId="17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15" xfId="57" applyFont="1" applyBorder="1" applyAlignment="1">
      <alignment horizontal="left" vertical="center" wrapText="1"/>
      <protection/>
    </xf>
    <xf numFmtId="0" fontId="7" fillId="0" borderId="16" xfId="57" applyFont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0" borderId="0" xfId="58" applyFont="1" applyFill="1" applyBorder="1">
      <alignment/>
      <protection/>
    </xf>
    <xf numFmtId="2" fontId="12" fillId="0" borderId="0" xfId="57" applyNumberFormat="1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left" vertical="center" wrapText="1"/>
      <protection/>
    </xf>
    <xf numFmtId="0" fontId="12" fillId="0" borderId="16" xfId="57" applyFont="1" applyBorder="1" applyAlignment="1">
      <alignment horizontal="left" vertical="center" wrapText="1"/>
      <protection/>
    </xf>
    <xf numFmtId="0" fontId="12" fillId="0" borderId="13" xfId="57" applyFont="1" applyBorder="1" applyAlignment="1">
      <alignment horizontal="left" vertical="center" wrapText="1"/>
      <protection/>
    </xf>
    <xf numFmtId="0" fontId="18" fillId="0" borderId="15" xfId="57" applyFont="1" applyBorder="1" applyAlignment="1">
      <alignment horizontal="left" vertical="center" wrapText="1"/>
      <protection/>
    </xf>
    <xf numFmtId="0" fontId="18" fillId="0" borderId="16" xfId="57" applyFont="1" applyBorder="1" applyAlignment="1">
      <alignment horizontal="left" vertical="center" wrapText="1"/>
      <protection/>
    </xf>
    <xf numFmtId="0" fontId="18" fillId="0" borderId="13" xfId="57" applyFont="1" applyBorder="1" applyAlignment="1">
      <alignment horizontal="left" vertical="center" wrapText="1"/>
      <protection/>
    </xf>
    <xf numFmtId="2" fontId="12" fillId="0" borderId="15" xfId="57" applyNumberFormat="1" applyFont="1" applyBorder="1" applyAlignment="1">
      <alignment horizontal="center" vertical="center" wrapText="1"/>
      <protection/>
    </xf>
    <xf numFmtId="2" fontId="12" fillId="0" borderId="16" xfId="57" applyNumberFormat="1" applyFont="1" applyBorder="1" applyAlignment="1">
      <alignment horizontal="center" vertical="center" wrapText="1"/>
      <protection/>
    </xf>
    <xf numFmtId="2" fontId="12" fillId="0" borderId="13" xfId="57" applyNumberFormat="1" applyFont="1" applyBorder="1" applyAlignment="1">
      <alignment horizontal="center" vertical="center" wrapText="1"/>
      <protection/>
    </xf>
    <xf numFmtId="0" fontId="66" fillId="0" borderId="15" xfId="55" applyFont="1" applyBorder="1" applyAlignment="1">
      <alignment horizontal="left" wrapText="1"/>
      <protection/>
    </xf>
    <xf numFmtId="0" fontId="66" fillId="0" borderId="16" xfId="55" applyFont="1" applyBorder="1" applyAlignment="1">
      <alignment horizontal="left" wrapText="1"/>
      <protection/>
    </xf>
    <xf numFmtId="0" fontId="66" fillId="0" borderId="13" xfId="55" applyFont="1" applyBorder="1" applyAlignment="1">
      <alignment horizontal="left" wrapText="1"/>
      <protection/>
    </xf>
    <xf numFmtId="0" fontId="66" fillId="0" borderId="15" xfId="55" applyFont="1" applyBorder="1" applyAlignment="1">
      <alignment horizontal="left"/>
      <protection/>
    </xf>
    <xf numFmtId="0" fontId="66" fillId="0" borderId="16" xfId="55" applyFont="1" applyBorder="1" applyAlignment="1">
      <alignment horizontal="left"/>
      <protection/>
    </xf>
    <xf numFmtId="0" fontId="66" fillId="0" borderId="13" xfId="55" applyFont="1" applyBorder="1" applyAlignment="1">
      <alignment horizontal="left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66" fillId="0" borderId="15" xfId="0" applyFont="1" applyBorder="1" applyAlignment="1">
      <alignment horizontal="left" wrapText="1"/>
    </xf>
    <xf numFmtId="0" fontId="66" fillId="0" borderId="16" xfId="0" applyFont="1" applyBorder="1" applyAlignment="1">
      <alignment horizontal="left" wrapText="1"/>
    </xf>
    <xf numFmtId="0" fontId="66" fillId="0" borderId="13" xfId="0" applyFont="1" applyBorder="1" applyAlignment="1">
      <alignment horizontal="left" wrapText="1"/>
    </xf>
    <xf numFmtId="2" fontId="7" fillId="0" borderId="0" xfId="57" applyNumberFormat="1" applyFont="1" applyFill="1" applyAlignment="1">
      <alignment horizontal="left" vertical="center" wrapText="1"/>
      <protection/>
    </xf>
    <xf numFmtId="2" fontId="7" fillId="0" borderId="14" xfId="57" applyNumberFormat="1" applyFont="1" applyFill="1" applyBorder="1" applyAlignment="1">
      <alignment horizontal="center" vertical="center" wrapText="1"/>
      <protection/>
    </xf>
    <xf numFmtId="2" fontId="7" fillId="0" borderId="17" xfId="57" applyNumberFormat="1" applyFont="1" applyFill="1" applyBorder="1" applyAlignment="1">
      <alignment horizontal="center" vertical="center" wrapText="1"/>
      <protection/>
    </xf>
    <xf numFmtId="2" fontId="10" fillId="0" borderId="0" xfId="57" applyNumberFormat="1" applyFont="1" applyFill="1" applyAlignment="1">
      <alignment horizontal="center" vertical="center" wrapText="1"/>
      <protection/>
    </xf>
    <xf numFmtId="2" fontId="10" fillId="0" borderId="0" xfId="57" applyNumberFormat="1" applyFont="1" applyFill="1" applyBorder="1" applyAlignment="1">
      <alignment horizontal="center" vertical="center" wrapText="1"/>
      <protection/>
    </xf>
    <xf numFmtId="2" fontId="7" fillId="0" borderId="18" xfId="57" applyNumberFormat="1" applyFont="1" applyFill="1" applyBorder="1" applyAlignment="1">
      <alignment horizontal="center" vertical="center" wrapText="1"/>
      <protection/>
    </xf>
    <xf numFmtId="2" fontId="7" fillId="0" borderId="19" xfId="57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56" applyFont="1" applyFill="1" applyAlignment="1">
      <alignment horizontal="left"/>
      <protection/>
    </xf>
    <xf numFmtId="0" fontId="31" fillId="0" borderId="0" xfId="0" applyFont="1" applyAlignment="1">
      <alignment horizontal="center" vertical="center" wrapText="1"/>
    </xf>
    <xf numFmtId="0" fontId="10" fillId="0" borderId="0" xfId="56" applyFont="1" applyFill="1" applyAlignment="1">
      <alignment horizontal="center"/>
      <protection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95" fontId="7" fillId="0" borderId="15" xfId="0" applyNumberFormat="1" applyFont="1" applyBorder="1" applyAlignment="1">
      <alignment horizontal="center"/>
    </xf>
    <xf numFmtId="195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нига2" xfId="56"/>
    <cellStyle name="Обычный_мой расчет гимн. № 25" xfId="57"/>
    <cellStyle name="Обычный_расчет для МДО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140625" style="55" customWidth="1"/>
    <col min="2" max="2" width="38.00390625" style="55" customWidth="1"/>
    <col min="3" max="5" width="9.140625" style="55" customWidth="1"/>
    <col min="6" max="6" width="12.421875" style="55" customWidth="1"/>
    <col min="7" max="16384" width="9.140625" style="55" customWidth="1"/>
  </cols>
  <sheetData>
    <row r="1" spans="2:12" s="13" customFormat="1" ht="12.75" customHeight="1">
      <c r="B1" s="89"/>
      <c r="C1" s="111"/>
      <c r="D1" s="111"/>
      <c r="E1" s="111"/>
      <c r="F1" s="111"/>
      <c r="G1" s="89"/>
      <c r="H1" s="112"/>
      <c r="I1" s="112"/>
      <c r="J1" s="112"/>
      <c r="L1" s="20"/>
    </row>
    <row r="2" ht="20.25" customHeight="1"/>
    <row r="3" spans="1:6" ht="58.5" customHeight="1">
      <c r="A3" s="196" t="s">
        <v>150</v>
      </c>
      <c r="B3" s="196"/>
      <c r="C3" s="196"/>
      <c r="D3" s="196"/>
      <c r="E3" s="196"/>
      <c r="F3" s="196"/>
    </row>
    <row r="4" spans="1:6" ht="34.5" customHeight="1">
      <c r="A4" s="196" t="s">
        <v>203</v>
      </c>
      <c r="B4" s="196"/>
      <c r="C4" s="196"/>
      <c r="D4" s="196"/>
      <c r="E4" s="196"/>
      <c r="F4" s="196"/>
    </row>
    <row r="5" spans="1:5" ht="15">
      <c r="A5" s="34"/>
      <c r="B5" s="34"/>
      <c r="C5" s="34"/>
      <c r="D5" s="34"/>
      <c r="E5" s="35"/>
    </row>
    <row r="6" spans="1:5" s="54" customFormat="1" ht="30" customHeight="1">
      <c r="A6" s="32" t="s">
        <v>2</v>
      </c>
      <c r="B6" s="32" t="s">
        <v>33</v>
      </c>
      <c r="C6" s="32" t="s">
        <v>31</v>
      </c>
      <c r="D6" s="32" t="s">
        <v>26</v>
      </c>
      <c r="E6" s="32" t="s">
        <v>32</v>
      </c>
    </row>
    <row r="7" spans="1:5" ht="27.75" customHeight="1">
      <c r="A7" s="36">
        <v>1</v>
      </c>
      <c r="B7" s="33" t="s">
        <v>199</v>
      </c>
      <c r="C7" s="152">
        <v>10</v>
      </c>
      <c r="D7" s="32">
        <v>1</v>
      </c>
      <c r="E7" s="32">
        <f>C7*D7</f>
        <v>10</v>
      </c>
    </row>
    <row r="8" spans="1:5" ht="27.75" customHeight="1">
      <c r="A8" s="36">
        <v>2</v>
      </c>
      <c r="B8" s="33" t="s">
        <v>200</v>
      </c>
      <c r="C8" s="152">
        <v>10</v>
      </c>
      <c r="D8" s="32">
        <v>1</v>
      </c>
      <c r="E8" s="32">
        <f>C8*D8</f>
        <v>10</v>
      </c>
    </row>
    <row r="9" spans="1:5" ht="31.5" customHeight="1">
      <c r="A9" s="36">
        <v>3</v>
      </c>
      <c r="B9" s="33" t="s">
        <v>201</v>
      </c>
      <c r="C9" s="152">
        <v>5</v>
      </c>
      <c r="D9" s="32">
        <v>2</v>
      </c>
      <c r="E9" s="32">
        <f>C9*D9</f>
        <v>10</v>
      </c>
    </row>
    <row r="10" spans="1:5" ht="31.5" customHeight="1">
      <c r="A10" s="36">
        <v>4</v>
      </c>
      <c r="B10" s="33" t="s">
        <v>202</v>
      </c>
      <c r="C10" s="152">
        <v>10</v>
      </c>
      <c r="D10" s="32">
        <v>1</v>
      </c>
      <c r="E10" s="32">
        <f>C10*D10</f>
        <v>10</v>
      </c>
    </row>
    <row r="11" spans="1:5" s="56" customFormat="1" ht="14.25">
      <c r="A11" s="195" t="s">
        <v>3</v>
      </c>
      <c r="B11" s="195"/>
      <c r="C11" s="31">
        <f>SUM(C7:C10)</f>
        <v>35</v>
      </c>
      <c r="D11" s="31">
        <f>SUM(D7:D10)</f>
        <v>5</v>
      </c>
      <c r="E11" s="31">
        <f>SUM(E7:E10)</f>
        <v>40</v>
      </c>
    </row>
    <row r="16" spans="1:5" s="13" customFormat="1" ht="21" customHeight="1">
      <c r="A16" s="153" t="s">
        <v>197</v>
      </c>
      <c r="B16" s="21"/>
      <c r="E16" s="153" t="s">
        <v>198</v>
      </c>
    </row>
    <row r="17" s="13" customFormat="1" ht="12.75">
      <c r="B17" s="21"/>
    </row>
    <row r="18" s="13" customFormat="1" ht="12.75">
      <c r="B18" s="21"/>
    </row>
    <row r="19" s="13" customFormat="1" ht="12.75">
      <c r="B19" s="21"/>
    </row>
    <row r="20" s="13" customFormat="1" ht="18.75" customHeight="1">
      <c r="B20" s="21"/>
    </row>
    <row r="21" s="13" customFormat="1" ht="14.25" customHeight="1">
      <c r="B21" s="21"/>
    </row>
    <row r="39" spans="4:5" ht="12.75">
      <c r="D39" s="54"/>
      <c r="E39" s="54"/>
    </row>
  </sheetData>
  <sheetProtection/>
  <mergeCells count="3">
    <mergeCell ref="A11:B11"/>
    <mergeCell ref="A4:F4"/>
    <mergeCell ref="A3:F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L115"/>
  <sheetViews>
    <sheetView zoomScalePageLayoutView="0" workbookViewId="0" topLeftCell="A22">
      <selection activeCell="C26" sqref="C26:C28"/>
    </sheetView>
  </sheetViews>
  <sheetFormatPr defaultColWidth="9.140625" defaultRowHeight="12.75"/>
  <cols>
    <col min="1" max="1" width="5.421875" style="0" customWidth="1"/>
    <col min="2" max="2" width="32.28125" style="0" customWidth="1"/>
    <col min="3" max="3" width="11.28125" style="0" customWidth="1"/>
    <col min="4" max="4" width="10.140625" style="0" customWidth="1"/>
    <col min="5" max="5" width="18.8515625" style="0" customWidth="1"/>
    <col min="6" max="6" width="15.8515625" style="0" customWidth="1"/>
    <col min="7" max="7" width="17.28125" style="0" customWidth="1"/>
    <col min="8" max="8" width="14.00390625" style="0" customWidth="1"/>
    <col min="9" max="9" width="14.57421875" style="0" customWidth="1"/>
    <col min="10" max="10" width="13.57421875" style="0" customWidth="1"/>
    <col min="11" max="11" width="10.7109375" style="0" customWidth="1"/>
    <col min="12" max="12" width="9.57421875" style="0" bestFit="1" customWidth="1"/>
  </cols>
  <sheetData>
    <row r="1" spans="8:11" ht="15.75">
      <c r="H1" s="276" t="s">
        <v>252</v>
      </c>
      <c r="I1" s="276"/>
      <c r="J1" s="276"/>
      <c r="K1" s="276"/>
    </row>
    <row r="2" spans="8:11" ht="15.75">
      <c r="H2" s="276" t="s">
        <v>158</v>
      </c>
      <c r="I2" s="276"/>
      <c r="J2" s="276"/>
      <c r="K2" s="276"/>
    </row>
    <row r="3" spans="1:12" ht="15.75">
      <c r="A3" s="154" t="s">
        <v>76</v>
      </c>
      <c r="B3" s="117"/>
      <c r="C3" s="116"/>
      <c r="D3" s="1"/>
      <c r="E3" s="1"/>
      <c r="F3" s="1"/>
      <c r="G3" s="1"/>
      <c r="H3" s="117"/>
      <c r="I3" s="117"/>
      <c r="J3" s="117" t="s">
        <v>92</v>
      </c>
      <c r="K3" s="117"/>
      <c r="L3" s="116"/>
    </row>
    <row r="4" spans="1:12" ht="15.75">
      <c r="A4" s="154" t="s">
        <v>77</v>
      </c>
      <c r="B4" s="117"/>
      <c r="C4" s="116"/>
      <c r="D4" s="116"/>
      <c r="E4" s="116"/>
      <c r="F4" s="116"/>
      <c r="G4" s="116"/>
      <c r="H4" s="117"/>
      <c r="I4" s="117"/>
      <c r="J4" s="117"/>
      <c r="K4" s="117"/>
      <c r="L4" s="116"/>
    </row>
    <row r="5" spans="1:12" ht="15.75">
      <c r="A5" s="154" t="s">
        <v>78</v>
      </c>
      <c r="B5" s="117"/>
      <c r="C5" s="116"/>
      <c r="D5" s="116"/>
      <c r="E5" s="116"/>
      <c r="F5" s="116"/>
      <c r="G5" s="116"/>
      <c r="H5" s="117" t="s">
        <v>93</v>
      </c>
      <c r="I5" s="117"/>
      <c r="J5" s="118">
        <f>C38</f>
        <v>0.16</v>
      </c>
      <c r="K5" s="118"/>
      <c r="L5" s="116"/>
    </row>
    <row r="6" spans="1:12" ht="15.75">
      <c r="A6" s="154" t="s">
        <v>79</v>
      </c>
      <c r="B6" s="117"/>
      <c r="C6" s="116"/>
      <c r="D6" s="116"/>
      <c r="E6" s="116"/>
      <c r="F6" s="116"/>
      <c r="G6" s="116"/>
      <c r="H6" s="117" t="s">
        <v>94</v>
      </c>
      <c r="I6" s="117"/>
      <c r="J6" s="117"/>
      <c r="K6" s="277">
        <f>J38</f>
        <v>18235.5</v>
      </c>
      <c r="L6" s="277"/>
    </row>
    <row r="7" spans="1:12" ht="15.75">
      <c r="A7" s="154" t="s">
        <v>189</v>
      </c>
      <c r="B7" s="117"/>
      <c r="C7" s="116"/>
      <c r="D7" s="116"/>
      <c r="E7" s="116"/>
      <c r="F7" s="116"/>
      <c r="G7" s="116"/>
      <c r="H7" s="117" t="s">
        <v>113</v>
      </c>
      <c r="I7" s="117"/>
      <c r="J7" s="117"/>
      <c r="K7" s="117" t="s">
        <v>241</v>
      </c>
      <c r="L7" s="116"/>
    </row>
    <row r="8" spans="1:12" ht="15.75">
      <c r="A8" s="154" t="s">
        <v>80</v>
      </c>
      <c r="B8" s="117"/>
      <c r="C8" s="116"/>
      <c r="D8" s="116"/>
      <c r="E8" s="116"/>
      <c r="F8" s="116"/>
      <c r="G8" s="116"/>
      <c r="H8" s="117"/>
      <c r="I8" s="117"/>
      <c r="J8" s="117"/>
      <c r="K8" s="117"/>
      <c r="L8" s="116"/>
    </row>
    <row r="9" spans="1:12" ht="15.75">
      <c r="A9" s="153"/>
      <c r="B9" s="116"/>
      <c r="C9" s="116"/>
      <c r="D9" s="116"/>
      <c r="E9" s="116"/>
      <c r="F9" s="116"/>
      <c r="G9" s="116"/>
      <c r="H9" s="117"/>
      <c r="I9" s="117"/>
      <c r="J9" s="117"/>
      <c r="K9" s="117"/>
      <c r="L9" s="116"/>
    </row>
    <row r="10" spans="1:12" ht="48" customHeight="1">
      <c r="A10" s="283" t="s">
        <v>218</v>
      </c>
      <c r="B10" s="283"/>
      <c r="C10" s="283"/>
      <c r="D10" s="283"/>
      <c r="E10" s="283"/>
      <c r="F10" s="283"/>
      <c r="G10" s="283"/>
      <c r="H10" s="119" t="s">
        <v>95</v>
      </c>
      <c r="I10" s="120"/>
      <c r="J10" s="120"/>
      <c r="K10" s="121"/>
      <c r="L10" s="116"/>
    </row>
    <row r="11" spans="1:10" ht="15.75" customHeight="1">
      <c r="A11" s="282" t="s">
        <v>97</v>
      </c>
      <c r="B11" s="282"/>
      <c r="C11" s="282"/>
      <c r="D11" s="282"/>
      <c r="E11" s="282"/>
      <c r="F11" s="282"/>
      <c r="G11" s="282"/>
      <c r="H11" s="116"/>
      <c r="I11" s="116"/>
      <c r="J11" s="116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47"/>
    </row>
    <row r="13" spans="1:10" ht="20.25">
      <c r="A13" s="1"/>
      <c r="B13" s="1"/>
      <c r="C13" s="1"/>
      <c r="D13" s="284" t="s">
        <v>96</v>
      </c>
      <c r="E13" s="284"/>
      <c r="F13" s="284"/>
      <c r="G13" s="284"/>
      <c r="H13" s="284"/>
      <c r="I13" s="284"/>
      <c r="J13" s="1"/>
    </row>
    <row r="14" spans="1:10" ht="21" customHeight="1">
      <c r="A14" s="1"/>
      <c r="B14" s="1"/>
      <c r="C14" s="1"/>
      <c r="D14" s="280" t="s">
        <v>121</v>
      </c>
      <c r="E14" s="280"/>
      <c r="F14" s="280"/>
      <c r="G14" s="280"/>
      <c r="H14" s="280"/>
      <c r="I14" s="280"/>
      <c r="J14" s="1"/>
    </row>
    <row r="15" spans="1:10" ht="15.75">
      <c r="A15" s="1"/>
      <c r="B15" s="1"/>
      <c r="C15" s="1"/>
      <c r="D15" s="281" t="s">
        <v>208</v>
      </c>
      <c r="E15" s="281"/>
      <c r="F15" s="281"/>
      <c r="G15" s="281"/>
      <c r="H15" s="281"/>
      <c r="I15" s="281"/>
      <c r="J15" s="1"/>
    </row>
    <row r="16" spans="1:10" ht="12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63.75" customHeight="1">
      <c r="A17" s="275" t="s">
        <v>2</v>
      </c>
      <c r="B17" s="275" t="s">
        <v>5</v>
      </c>
      <c r="C17" s="275" t="s">
        <v>98</v>
      </c>
      <c r="D17" s="275" t="s">
        <v>114</v>
      </c>
      <c r="E17" s="275" t="s">
        <v>115</v>
      </c>
      <c r="F17" s="275" t="s">
        <v>116</v>
      </c>
      <c r="G17" s="275" t="s">
        <v>117</v>
      </c>
      <c r="H17" s="123" t="s">
        <v>118</v>
      </c>
      <c r="I17" s="123" t="s">
        <v>120</v>
      </c>
      <c r="J17" s="275" t="s">
        <v>99</v>
      </c>
    </row>
    <row r="18" spans="1:10" ht="54.75" customHeight="1">
      <c r="A18" s="275"/>
      <c r="B18" s="275"/>
      <c r="C18" s="275"/>
      <c r="D18" s="275"/>
      <c r="E18" s="275"/>
      <c r="F18" s="275"/>
      <c r="G18" s="275"/>
      <c r="H18" s="278" t="s">
        <v>100</v>
      </c>
      <c r="I18" s="275" t="s">
        <v>119</v>
      </c>
      <c r="J18" s="275"/>
    </row>
    <row r="19" spans="1:10" ht="12.75">
      <c r="A19" s="275"/>
      <c r="B19" s="275"/>
      <c r="C19" s="275"/>
      <c r="D19" s="275"/>
      <c r="E19" s="275"/>
      <c r="F19" s="275"/>
      <c r="G19" s="275"/>
      <c r="H19" s="279"/>
      <c r="I19" s="275"/>
      <c r="J19" s="275"/>
    </row>
    <row r="20" spans="1:10" ht="13.5" customHeight="1">
      <c r="A20" s="124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3">
        <v>10</v>
      </c>
    </row>
    <row r="21" spans="1:10" ht="15.75">
      <c r="A21" s="270" t="s">
        <v>101</v>
      </c>
      <c r="B21" s="270"/>
      <c r="C21" s="270"/>
      <c r="D21" s="270"/>
      <c r="E21" s="270"/>
      <c r="F21" s="270"/>
      <c r="G21" s="270"/>
      <c r="H21" s="270"/>
      <c r="I21" s="270"/>
      <c r="J21" s="270"/>
    </row>
    <row r="22" spans="1:10" ht="15.75">
      <c r="A22" s="148">
        <v>1</v>
      </c>
      <c r="B22" s="149" t="s">
        <v>197</v>
      </c>
      <c r="C22" s="148"/>
      <c r="D22" s="161">
        <f>'з.плата АУП'!D6</f>
        <v>23460</v>
      </c>
      <c r="E22" s="148"/>
      <c r="F22" s="148">
        <v>1</v>
      </c>
      <c r="G22" s="148"/>
      <c r="H22" s="148"/>
      <c r="I22" s="148"/>
      <c r="J22" s="159">
        <f>'з.плата АУП'!H6</f>
        <v>1173</v>
      </c>
    </row>
    <row r="23" spans="1:10" ht="15.75">
      <c r="A23" s="148"/>
      <c r="B23" s="149"/>
      <c r="C23" s="148"/>
      <c r="D23" s="148"/>
      <c r="E23" s="148"/>
      <c r="F23" s="148"/>
      <c r="G23" s="148"/>
      <c r="H23" s="148"/>
      <c r="I23" s="148"/>
      <c r="J23" s="159"/>
    </row>
    <row r="24" spans="1:10" ht="12.75">
      <c r="A24" s="125"/>
      <c r="B24" s="125" t="s">
        <v>102</v>
      </c>
      <c r="C24" s="126"/>
      <c r="D24" s="127">
        <f>D22+D23</f>
        <v>23460</v>
      </c>
      <c r="E24" s="127"/>
      <c r="F24" s="127"/>
      <c r="G24" s="127">
        <f>G22+G23</f>
        <v>0</v>
      </c>
      <c r="H24" s="127"/>
      <c r="I24" s="125"/>
      <c r="J24" s="127">
        <f>J22+J23</f>
        <v>1173</v>
      </c>
    </row>
    <row r="25" spans="1:10" ht="15.75">
      <c r="A25" s="272" t="s">
        <v>103</v>
      </c>
      <c r="B25" s="272"/>
      <c r="C25" s="272"/>
      <c r="D25" s="272"/>
      <c r="E25" s="272"/>
      <c r="F25" s="272"/>
      <c r="G25" s="272"/>
      <c r="H25" s="272"/>
      <c r="I25" s="272"/>
      <c r="J25" s="272"/>
    </row>
    <row r="26" spans="1:10" ht="15.75">
      <c r="A26" s="150">
        <v>1</v>
      </c>
      <c r="B26" s="151" t="s">
        <v>243</v>
      </c>
      <c r="C26" s="187">
        <f>('нагрузка,ФОТ'!D8+'нагрузка,ФОТ'!D9)/18</f>
        <v>0.09</v>
      </c>
      <c r="D26" s="150"/>
      <c r="E26" s="177">
        <f>'нагрузка,ФОТ'!C2</f>
        <v>15172</v>
      </c>
      <c r="F26" s="150">
        <v>5</v>
      </c>
      <c r="G26" s="174">
        <f>E26*F26</f>
        <v>75860</v>
      </c>
      <c r="H26" s="174"/>
      <c r="I26" s="174"/>
      <c r="J26" s="174">
        <f>('нагрузка,ФОТ'!L8+'нагрузка,ФОТ'!L10+'нагрузка,ФОТ'!L11)/9</f>
        <v>13650</v>
      </c>
    </row>
    <row r="27" spans="1:10" ht="31.5">
      <c r="A27" s="150">
        <v>2</v>
      </c>
      <c r="B27" s="151" t="s">
        <v>106</v>
      </c>
      <c r="C27" s="187">
        <f>'нагрузка,ФОТ'!D10/18</f>
        <v>0.05</v>
      </c>
      <c r="D27" s="150"/>
      <c r="E27" s="177">
        <f>'нагрузка,ФОТ'!C2</f>
        <v>15172</v>
      </c>
      <c r="F27" s="150">
        <v>5</v>
      </c>
      <c r="G27" s="174">
        <f>E27*F27</f>
        <v>75860</v>
      </c>
      <c r="H27" s="174"/>
      <c r="I27" s="174"/>
      <c r="J27" s="174">
        <f>'нагрузка,ФОТ'!L9/9</f>
        <v>3412.5</v>
      </c>
    </row>
    <row r="28" spans="1:10" ht="15.75">
      <c r="A28" s="150">
        <v>3</v>
      </c>
      <c r="B28" s="151" t="s">
        <v>244</v>
      </c>
      <c r="C28" s="187">
        <f>'нагрузка,ФОТ'!D11/36</f>
        <v>0.02</v>
      </c>
      <c r="D28" s="150"/>
      <c r="E28" s="177">
        <f>'нагрузка,ФОТ'!C2</f>
        <v>15172</v>
      </c>
      <c r="F28" s="150">
        <v>5</v>
      </c>
      <c r="G28" s="174">
        <f>E28*F28</f>
        <v>75860</v>
      </c>
      <c r="H28" s="174"/>
      <c r="I28" s="174"/>
      <c r="J28" s="174">
        <f>'нагрузка,ФОТ'!L11/9</f>
        <v>3412.5</v>
      </c>
    </row>
    <row r="29" spans="1:10" ht="12.75">
      <c r="A29" s="125"/>
      <c r="B29" s="128" t="s">
        <v>104</v>
      </c>
      <c r="C29" s="127">
        <f>SUM(C26:C28)</f>
        <v>0.16</v>
      </c>
      <c r="D29" s="127"/>
      <c r="E29" s="127"/>
      <c r="F29" s="127"/>
      <c r="G29" s="175"/>
      <c r="H29" s="175"/>
      <c r="I29" s="175"/>
      <c r="J29" s="175">
        <f>J26+J27</f>
        <v>17062.5</v>
      </c>
    </row>
    <row r="30" spans="1:10" ht="15.75">
      <c r="A30" s="273" t="s">
        <v>105</v>
      </c>
      <c r="B30" s="274"/>
      <c r="C30" s="274"/>
      <c r="D30" s="274"/>
      <c r="E30" s="274"/>
      <c r="F30" s="274"/>
      <c r="G30" s="274"/>
      <c r="H30" s="274"/>
      <c r="I30" s="274"/>
      <c r="J30" s="274"/>
    </row>
    <row r="31" spans="1:10" s="132" customFormat="1" ht="12.75" hidden="1">
      <c r="A31" s="129"/>
      <c r="B31" s="130"/>
      <c r="C31" s="124"/>
      <c r="D31" s="124"/>
      <c r="E31" s="124"/>
      <c r="F31" s="124"/>
      <c r="G31" s="124"/>
      <c r="H31" s="131"/>
      <c r="I31" s="124"/>
      <c r="J31" s="131"/>
    </row>
    <row r="32" spans="1:10" s="132" customFormat="1" ht="12.75" hidden="1">
      <c r="A32" s="133"/>
      <c r="B32" s="130"/>
      <c r="C32" s="124"/>
      <c r="D32" s="124"/>
      <c r="E32" s="124"/>
      <c r="F32" s="124"/>
      <c r="G32" s="124"/>
      <c r="H32" s="131"/>
      <c r="I32" s="124"/>
      <c r="J32" s="131"/>
    </row>
    <row r="33" spans="1:10" s="132" customFormat="1" ht="12.75">
      <c r="A33" s="134"/>
      <c r="B33" s="134" t="s">
        <v>107</v>
      </c>
      <c r="C33" s="135">
        <f>SUM(C31:C32)</f>
        <v>0</v>
      </c>
      <c r="D33" s="136">
        <f>SUM(D31:D32)</f>
        <v>0</v>
      </c>
      <c r="E33" s="127" t="s">
        <v>108</v>
      </c>
      <c r="F33" s="137">
        <f>SUM(F31:F32)</f>
        <v>0</v>
      </c>
      <c r="G33" s="127" t="s">
        <v>108</v>
      </c>
      <c r="H33" s="138"/>
      <c r="I33" s="127"/>
      <c r="J33" s="135">
        <f>SUM(J31:J32)</f>
        <v>0</v>
      </c>
    </row>
    <row r="34" spans="1:10" ht="15.75" customHeight="1">
      <c r="A34" s="270" t="s">
        <v>109</v>
      </c>
      <c r="B34" s="270"/>
      <c r="C34" s="270"/>
      <c r="D34" s="270"/>
      <c r="E34" s="270"/>
      <c r="F34" s="270"/>
      <c r="G34" s="270"/>
      <c r="H34" s="270"/>
      <c r="I34" s="270"/>
      <c r="J34" s="270"/>
    </row>
    <row r="35" spans="1:10" ht="12.75">
      <c r="A35" s="125"/>
      <c r="B35" s="125" t="s">
        <v>110</v>
      </c>
      <c r="C35" s="126"/>
      <c r="D35" s="126"/>
      <c r="E35" s="125"/>
      <c r="F35" s="139"/>
      <c r="G35" s="125"/>
      <c r="H35" s="127"/>
      <c r="I35" s="125"/>
      <c r="J35" s="127"/>
    </row>
    <row r="36" spans="1:10" ht="15.75" customHeight="1">
      <c r="A36" s="270" t="s">
        <v>111</v>
      </c>
      <c r="B36" s="270"/>
      <c r="C36" s="270"/>
      <c r="D36" s="270"/>
      <c r="E36" s="270"/>
      <c r="F36" s="270"/>
      <c r="G36" s="270"/>
      <c r="H36" s="270"/>
      <c r="I36" s="270"/>
      <c r="J36" s="270"/>
    </row>
    <row r="37" spans="1:10" ht="12.75">
      <c r="A37" s="140"/>
      <c r="B37" s="125" t="s">
        <v>112</v>
      </c>
      <c r="C37" s="126"/>
      <c r="D37" s="141"/>
      <c r="E37" s="125"/>
      <c r="F37" s="126"/>
      <c r="G37" s="125"/>
      <c r="H37" s="126"/>
      <c r="I37" s="125"/>
      <c r="J37" s="127"/>
    </row>
    <row r="38" spans="1:10" ht="16.5" customHeight="1">
      <c r="A38" s="140"/>
      <c r="B38" s="125" t="s">
        <v>49</v>
      </c>
      <c r="C38" s="127">
        <f>C29</f>
        <v>0.16</v>
      </c>
      <c r="D38" s="141">
        <f>D24+D29+D35+D37+D33</f>
        <v>23460</v>
      </c>
      <c r="E38" s="176">
        <f>E29</f>
        <v>0</v>
      </c>
      <c r="F38" s="175" t="s">
        <v>108</v>
      </c>
      <c r="G38" s="175">
        <f>G24+G29</f>
        <v>0</v>
      </c>
      <c r="H38" s="176"/>
      <c r="I38" s="176"/>
      <c r="J38" s="175">
        <f>J24+J29</f>
        <v>18235.5</v>
      </c>
    </row>
    <row r="39" spans="1:10" ht="15.75">
      <c r="A39" s="117"/>
      <c r="B39" s="1"/>
      <c r="C39" s="142"/>
      <c r="D39" s="117"/>
      <c r="E39" s="117"/>
      <c r="F39" s="117"/>
      <c r="G39" s="117"/>
      <c r="H39" s="117"/>
      <c r="J39" s="143"/>
    </row>
    <row r="40" spans="1:10" ht="15.75">
      <c r="A40" s="117" t="s">
        <v>195</v>
      </c>
      <c r="B40" s="117"/>
      <c r="C40" s="117"/>
      <c r="D40" s="144"/>
      <c r="E40" s="271" t="s">
        <v>196</v>
      </c>
      <c r="F40" s="271"/>
      <c r="G40" s="271"/>
      <c r="H40" s="271"/>
      <c r="I40" s="117"/>
      <c r="J40" s="143"/>
    </row>
    <row r="41" spans="1:10" ht="12.75">
      <c r="A41" s="145"/>
      <c r="B41" s="1"/>
      <c r="C41" s="1"/>
      <c r="D41" s="146"/>
      <c r="E41" s="1"/>
      <c r="F41" s="146"/>
      <c r="G41" s="1"/>
      <c r="H41" s="1"/>
      <c r="I41" s="145"/>
      <c r="J41" s="1"/>
    </row>
    <row r="42" spans="1:10" ht="12.75">
      <c r="A42" s="145"/>
      <c r="B42" s="1"/>
      <c r="C42" s="1"/>
      <c r="D42" s="146"/>
      <c r="E42" s="1"/>
      <c r="F42" s="146"/>
      <c r="G42" s="1"/>
      <c r="H42" s="1"/>
      <c r="I42" s="1"/>
      <c r="J42" s="1"/>
    </row>
    <row r="43" spans="1:10" ht="12.75">
      <c r="A43" s="145"/>
      <c r="B43" s="1"/>
      <c r="C43" s="1"/>
      <c r="D43" s="146"/>
      <c r="E43" s="1"/>
      <c r="F43" s="146"/>
      <c r="G43" s="1"/>
      <c r="H43" s="1"/>
      <c r="I43" s="145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</sheetData>
  <sheetProtection/>
  <mergeCells count="24">
    <mergeCell ref="A11:G11"/>
    <mergeCell ref="A10:G10"/>
    <mergeCell ref="E17:E19"/>
    <mergeCell ref="D13:I13"/>
    <mergeCell ref="C17:C19"/>
    <mergeCell ref="D17:D19"/>
    <mergeCell ref="F17:F19"/>
    <mergeCell ref="B17:B19"/>
    <mergeCell ref="J17:J19"/>
    <mergeCell ref="A17:A19"/>
    <mergeCell ref="H1:K1"/>
    <mergeCell ref="H2:K2"/>
    <mergeCell ref="K6:L6"/>
    <mergeCell ref="G17:G19"/>
    <mergeCell ref="H18:H19"/>
    <mergeCell ref="I18:I19"/>
    <mergeCell ref="D14:I14"/>
    <mergeCell ref="D15:I15"/>
    <mergeCell ref="A36:J36"/>
    <mergeCell ref="E40:H40"/>
    <mergeCell ref="A21:J21"/>
    <mergeCell ref="A25:J25"/>
    <mergeCell ref="A30:J30"/>
    <mergeCell ref="A34:J34"/>
  </mergeCells>
  <printOptions/>
  <pageMargins left="0.7086614173228347" right="0.7086614173228347" top="0.7480314960629921" bottom="0.35433070866141736" header="0.31496062992125984" footer="0.31496062992125984"/>
  <pageSetup fitToHeight="0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L26"/>
  <sheetViews>
    <sheetView zoomScalePageLayoutView="0" workbookViewId="0" topLeftCell="A13">
      <selection activeCell="K21" sqref="K21"/>
    </sheetView>
  </sheetViews>
  <sheetFormatPr defaultColWidth="9.140625" defaultRowHeight="12.75"/>
  <cols>
    <col min="1" max="5" width="7.57421875" style="64" customWidth="1"/>
    <col min="6" max="6" width="14.140625" style="64" customWidth="1"/>
    <col min="7" max="8" width="12.7109375" style="64" customWidth="1"/>
    <col min="9" max="9" width="16.8515625" style="64" customWidth="1"/>
    <col min="10" max="16384" width="9.140625" style="64" customWidth="1"/>
  </cols>
  <sheetData>
    <row r="1" spans="7:10" ht="15.75">
      <c r="G1" s="276" t="s">
        <v>159</v>
      </c>
      <c r="H1" s="276"/>
      <c r="I1" s="276"/>
      <c r="J1" s="276"/>
    </row>
    <row r="2" spans="7:10" ht="15.75">
      <c r="G2" s="276" t="s">
        <v>158</v>
      </c>
      <c r="H2" s="276"/>
      <c r="I2" s="276"/>
      <c r="J2" s="276"/>
    </row>
    <row r="3" spans="7:10" ht="15.75">
      <c r="G3" s="171"/>
      <c r="H3" s="171"/>
      <c r="I3" s="171"/>
      <c r="J3" s="171"/>
    </row>
    <row r="4" spans="1:12" s="13" customFormat="1" ht="15.75">
      <c r="A4" s="153" t="s">
        <v>160</v>
      </c>
      <c r="B4" s="21"/>
      <c r="E4" s="88"/>
      <c r="G4" s="153" t="s">
        <v>75</v>
      </c>
      <c r="H4" s="154"/>
      <c r="I4" s="153"/>
      <c r="J4" s="153"/>
      <c r="L4" s="20"/>
    </row>
    <row r="5" spans="1:12" s="13" customFormat="1" ht="15.75">
      <c r="A5" s="153" t="s">
        <v>77</v>
      </c>
      <c r="B5" s="170"/>
      <c r="C5" s="153"/>
      <c r="D5" s="153"/>
      <c r="E5" s="153"/>
      <c r="G5" s="153" t="s">
        <v>253</v>
      </c>
      <c r="H5" s="154"/>
      <c r="I5" s="153"/>
      <c r="J5" s="153"/>
      <c r="L5" s="20"/>
    </row>
    <row r="6" spans="1:12" s="13" customFormat="1" ht="15.75">
      <c r="A6" s="153" t="s">
        <v>78</v>
      </c>
      <c r="B6" s="170"/>
      <c r="C6" s="153"/>
      <c r="D6" s="153"/>
      <c r="E6" s="153"/>
      <c r="G6" s="153" t="s">
        <v>254</v>
      </c>
      <c r="H6" s="154"/>
      <c r="I6" s="153"/>
      <c r="J6" s="153"/>
      <c r="L6" s="20"/>
    </row>
    <row r="7" spans="1:12" s="13" customFormat="1" ht="20.25" customHeight="1">
      <c r="A7" s="153" t="s">
        <v>79</v>
      </c>
      <c r="B7" s="170"/>
      <c r="C7" s="153"/>
      <c r="D7" s="153"/>
      <c r="E7" s="153"/>
      <c r="F7" s="89"/>
      <c r="G7" s="263" t="s">
        <v>255</v>
      </c>
      <c r="H7" s="263"/>
      <c r="I7" s="263"/>
      <c r="J7" s="263"/>
      <c r="L7" s="20"/>
    </row>
    <row r="8" spans="1:5" s="55" customFormat="1" ht="15.75" customHeight="1">
      <c r="A8" s="153" t="s">
        <v>189</v>
      </c>
      <c r="B8" s="170"/>
      <c r="C8" s="153"/>
      <c r="D8" s="153"/>
      <c r="E8" s="153"/>
    </row>
    <row r="9" spans="1:5" s="55" customFormat="1" ht="21" customHeight="1">
      <c r="A9" s="289" t="s">
        <v>256</v>
      </c>
      <c r="B9" s="289"/>
      <c r="C9" s="289"/>
      <c r="D9" s="289"/>
      <c r="E9" s="289"/>
    </row>
    <row r="10" spans="1:5" s="55" customFormat="1" ht="37.5" customHeight="1">
      <c r="A10" s="168"/>
      <c r="B10" s="168"/>
      <c r="C10" s="168"/>
      <c r="D10" s="168"/>
      <c r="E10" s="168"/>
    </row>
    <row r="11" spans="1:9" s="55" customFormat="1" ht="21" customHeight="1">
      <c r="A11" s="291" t="s">
        <v>153</v>
      </c>
      <c r="B11" s="291"/>
      <c r="C11" s="291"/>
      <c r="D11" s="291"/>
      <c r="E11" s="291"/>
      <c r="F11" s="291"/>
      <c r="G11" s="291"/>
      <c r="H11" s="291"/>
      <c r="I11" s="291"/>
    </row>
    <row r="12" spans="1:9" s="55" customFormat="1" ht="37.5" customHeight="1">
      <c r="A12" s="196" t="s">
        <v>161</v>
      </c>
      <c r="B12" s="196"/>
      <c r="C12" s="196"/>
      <c r="D12" s="196"/>
      <c r="E12" s="196"/>
      <c r="F12" s="196"/>
      <c r="G12" s="196"/>
      <c r="H12" s="196"/>
      <c r="I12" s="196"/>
    </row>
    <row r="13" spans="1:9" s="55" customFormat="1" ht="60" customHeight="1">
      <c r="A13" s="290" t="s">
        <v>218</v>
      </c>
      <c r="B13" s="290"/>
      <c r="C13" s="290"/>
      <c r="D13" s="290"/>
      <c r="E13" s="290"/>
      <c r="F13" s="290"/>
      <c r="G13" s="290"/>
      <c r="H13" s="290"/>
      <c r="I13" s="290"/>
    </row>
    <row r="14" spans="1:9" ht="23.25" customHeight="1">
      <c r="A14" s="48"/>
      <c r="B14" s="48"/>
      <c r="C14" s="48"/>
      <c r="D14" s="285" t="s">
        <v>191</v>
      </c>
      <c r="E14" s="285"/>
      <c r="F14" s="285"/>
      <c r="G14" s="285"/>
      <c r="H14" s="285"/>
      <c r="I14" s="48"/>
    </row>
    <row r="15" spans="1:9" ht="12.75" customHeight="1">
      <c r="A15" s="286" t="s">
        <v>38</v>
      </c>
      <c r="B15" s="286"/>
      <c r="C15" s="286"/>
      <c r="D15" s="286"/>
      <c r="E15" s="286"/>
      <c r="F15" s="286" t="s">
        <v>172</v>
      </c>
      <c r="G15" s="286" t="s">
        <v>47</v>
      </c>
      <c r="H15" s="286"/>
      <c r="I15" s="286" t="s">
        <v>39</v>
      </c>
    </row>
    <row r="16" spans="1:9" ht="69" customHeight="1">
      <c r="A16" s="286"/>
      <c r="B16" s="286"/>
      <c r="C16" s="286"/>
      <c r="D16" s="286"/>
      <c r="E16" s="286"/>
      <c r="F16" s="286"/>
      <c r="G16" s="286"/>
      <c r="H16" s="286"/>
      <c r="I16" s="286"/>
    </row>
    <row r="17" spans="1:9" ht="15.75">
      <c r="A17" s="286"/>
      <c r="B17" s="286"/>
      <c r="C17" s="286"/>
      <c r="D17" s="286"/>
      <c r="E17" s="286"/>
      <c r="F17" s="286"/>
      <c r="G17" s="286"/>
      <c r="H17" s="286"/>
      <c r="I17" s="286"/>
    </row>
    <row r="18" spans="1:9" ht="57.75" customHeight="1">
      <c r="A18" s="287" t="str">
        <f>Калькуляция!C5</f>
        <v>Кружок «Предшкольная подготовка»</v>
      </c>
      <c r="B18" s="287"/>
      <c r="C18" s="287"/>
      <c r="D18" s="287"/>
      <c r="E18" s="287"/>
      <c r="F18" s="66">
        <f>'нагрузка,ФОТ'!G8</f>
        <v>30</v>
      </c>
      <c r="G18" s="288" t="s">
        <v>171</v>
      </c>
      <c r="H18" s="288"/>
      <c r="I18" s="87">
        <f>Калькуляция!C30</f>
        <v>150</v>
      </c>
    </row>
    <row r="19" spans="1:9" ht="34.5" customHeight="1">
      <c r="A19" s="287" t="str">
        <f>'Комплектование групп'!B8</f>
        <v>Кружок "Испанский язык."</v>
      </c>
      <c r="B19" s="287"/>
      <c r="C19" s="287"/>
      <c r="D19" s="287"/>
      <c r="E19" s="287"/>
      <c r="F19" s="66">
        <f>'нагрузка,ФОТ'!G9</f>
        <v>30</v>
      </c>
      <c r="G19" s="288" t="s">
        <v>171</v>
      </c>
      <c r="H19" s="288"/>
      <c r="I19" s="87">
        <f>Калькуляция!D30</f>
        <v>200</v>
      </c>
    </row>
    <row r="20" spans="1:9" ht="58.5" customHeight="1">
      <c r="A20" s="287" t="str">
        <f>'Комплектование групп'!B9</f>
        <v>Кружок "Черлидинг" </v>
      </c>
      <c r="B20" s="287"/>
      <c r="C20" s="287"/>
      <c r="D20" s="287"/>
      <c r="E20" s="287"/>
      <c r="F20" s="66">
        <f>'нагрузка,ФОТ'!G10</f>
        <v>60</v>
      </c>
      <c r="G20" s="288" t="s">
        <v>171</v>
      </c>
      <c r="H20" s="288"/>
      <c r="I20" s="87">
        <f>Калькуляция!E30</f>
        <v>150</v>
      </c>
    </row>
    <row r="21" spans="1:9" ht="48" customHeight="1">
      <c r="A21" s="287" t="str">
        <f>'Комплектование групп'!B10</f>
        <v>Кружок "Родительский клуб «Навстречу друг к другу»."</v>
      </c>
      <c r="B21" s="287"/>
      <c r="C21" s="287"/>
      <c r="D21" s="287"/>
      <c r="E21" s="287"/>
      <c r="F21" s="66">
        <f>'нагрузка,ФОТ'!G11</f>
        <v>30</v>
      </c>
      <c r="G21" s="288" t="s">
        <v>171</v>
      </c>
      <c r="H21" s="288"/>
      <c r="I21" s="87">
        <f>Калькуляция!F30</f>
        <v>150</v>
      </c>
    </row>
    <row r="22" s="13" customFormat="1" ht="12.75">
      <c r="B22" s="21"/>
    </row>
    <row r="23" s="13" customFormat="1" ht="12.75">
      <c r="B23" s="21"/>
    </row>
    <row r="24" s="13" customFormat="1" ht="12.75">
      <c r="B24" s="21"/>
    </row>
    <row r="25" s="13" customFormat="1" ht="18.75" customHeight="1">
      <c r="B25" s="21"/>
    </row>
    <row r="26" s="13" customFormat="1" ht="14.25" customHeight="1">
      <c r="B26" s="21"/>
    </row>
  </sheetData>
  <sheetProtection/>
  <mergeCells count="21">
    <mergeCell ref="G7:J7"/>
    <mergeCell ref="A11:I11"/>
    <mergeCell ref="A21:E21"/>
    <mergeCell ref="G21:H21"/>
    <mergeCell ref="A20:E20"/>
    <mergeCell ref="G20:H20"/>
    <mergeCell ref="A19:E19"/>
    <mergeCell ref="G1:J1"/>
    <mergeCell ref="G2:J2"/>
    <mergeCell ref="A9:E9"/>
    <mergeCell ref="A12:I12"/>
    <mergeCell ref="A13:I13"/>
    <mergeCell ref="D14:H14"/>
    <mergeCell ref="G15:H16"/>
    <mergeCell ref="A18:E18"/>
    <mergeCell ref="G19:H19"/>
    <mergeCell ref="G18:H18"/>
    <mergeCell ref="A17:I17"/>
    <mergeCell ref="I15:I16"/>
    <mergeCell ref="F15:F16"/>
    <mergeCell ref="A15:E1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8" sqref="G8:H8"/>
    </sheetView>
  </sheetViews>
  <sheetFormatPr defaultColWidth="9.140625" defaultRowHeight="12.75"/>
  <cols>
    <col min="1" max="1" width="10.7109375" style="0" customWidth="1"/>
    <col min="2" max="2" width="12.00390625" style="0" customWidth="1"/>
    <col min="4" max="4" width="10.00390625" style="0" customWidth="1"/>
  </cols>
  <sheetData>
    <row r="1" spans="1:13" ht="18.75" customHeight="1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8.75" customHeight="1">
      <c r="A2" s="196" t="s">
        <v>184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8.75" customHeight="1">
      <c r="A3" s="267" t="s">
        <v>180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4" ht="67.5" customHeight="1">
      <c r="A5" s="292" t="s">
        <v>33</v>
      </c>
      <c r="B5" s="293"/>
      <c r="C5" s="292" t="s">
        <v>174</v>
      </c>
      <c r="D5" s="293"/>
      <c r="E5" s="292" t="s">
        <v>175</v>
      </c>
      <c r="F5" s="293"/>
      <c r="G5" s="292" t="s">
        <v>176</v>
      </c>
      <c r="H5" s="293"/>
      <c r="I5" s="292" t="s">
        <v>177</v>
      </c>
      <c r="J5" s="293"/>
      <c r="K5" s="292" t="s">
        <v>178</v>
      </c>
      <c r="L5" s="293"/>
      <c r="M5" s="292" t="s">
        <v>179</v>
      </c>
      <c r="N5" s="293"/>
    </row>
    <row r="6" spans="1:14" ht="12.75" customHeight="1">
      <c r="A6" s="298">
        <v>1</v>
      </c>
      <c r="B6" s="299"/>
      <c r="C6" s="298">
        <v>2</v>
      </c>
      <c r="D6" s="299"/>
      <c r="E6" s="298">
        <v>3</v>
      </c>
      <c r="F6" s="299"/>
      <c r="G6" s="298">
        <v>4</v>
      </c>
      <c r="H6" s="299"/>
      <c r="I6" s="298">
        <v>5</v>
      </c>
      <c r="J6" s="299"/>
      <c r="K6" s="298">
        <v>6</v>
      </c>
      <c r="L6" s="299"/>
      <c r="M6" s="298">
        <v>7</v>
      </c>
      <c r="N6" s="299"/>
    </row>
    <row r="7" spans="1:14" ht="36.75" customHeight="1">
      <c r="A7" s="294" t="str">
        <f>'Комплектование групп'!B10</f>
        <v>Кружок "Родительский клуб «Навстречу друг к другу»."</v>
      </c>
      <c r="B7" s="295"/>
      <c r="C7" s="302" t="s">
        <v>182</v>
      </c>
      <c r="D7" s="303"/>
      <c r="E7" s="304">
        <v>42351</v>
      </c>
      <c r="F7" s="305"/>
      <c r="G7" s="306">
        <f>10*12</f>
        <v>120</v>
      </c>
      <c r="H7" s="307"/>
      <c r="I7" s="308">
        <f>100/G7</f>
        <v>0.83</v>
      </c>
      <c r="J7" s="309"/>
      <c r="K7" s="306">
        <v>9</v>
      </c>
      <c r="L7" s="307"/>
      <c r="M7" s="310">
        <f>(E7*K7*I7)/100</f>
        <v>3163.62</v>
      </c>
      <c r="N7" s="311"/>
    </row>
    <row r="8" spans="1:14" ht="36.75" customHeight="1">
      <c r="A8" s="296"/>
      <c r="B8" s="297"/>
      <c r="C8" s="302" t="s">
        <v>164</v>
      </c>
      <c r="D8" s="303"/>
      <c r="E8" s="304">
        <v>28483</v>
      </c>
      <c r="F8" s="305"/>
      <c r="G8" s="306">
        <f>5*12</f>
        <v>60</v>
      </c>
      <c r="H8" s="307"/>
      <c r="I8" s="308">
        <f>100/G8</f>
        <v>1.67</v>
      </c>
      <c r="J8" s="309"/>
      <c r="K8" s="306">
        <v>9</v>
      </c>
      <c r="L8" s="307"/>
      <c r="M8" s="310">
        <f>(E8*K8*I8)/100</f>
        <v>4280.99</v>
      </c>
      <c r="N8" s="311"/>
    </row>
    <row r="9" spans="1:14" ht="17.25" customHeight="1">
      <c r="A9" s="300" t="s">
        <v>122</v>
      </c>
      <c r="B9" s="301"/>
      <c r="C9" s="300" t="s">
        <v>108</v>
      </c>
      <c r="D9" s="301"/>
      <c r="E9" s="300" t="s">
        <v>108</v>
      </c>
      <c r="F9" s="301"/>
      <c r="G9" s="300" t="s">
        <v>108</v>
      </c>
      <c r="H9" s="301"/>
      <c r="I9" s="300" t="s">
        <v>108</v>
      </c>
      <c r="J9" s="301"/>
      <c r="K9" s="300" t="s">
        <v>108</v>
      </c>
      <c r="L9" s="301"/>
      <c r="M9" s="312">
        <f>M7+M8</f>
        <v>7444.61</v>
      </c>
      <c r="N9" s="313"/>
    </row>
    <row r="15" spans="1:10" ht="15.75">
      <c r="A15" s="153" t="s">
        <v>133</v>
      </c>
      <c r="B15" s="21"/>
      <c r="C15" s="13"/>
      <c r="D15" s="13"/>
      <c r="E15" s="88"/>
      <c r="G15" s="13"/>
      <c r="H15" s="13"/>
      <c r="J15" s="153" t="s">
        <v>134</v>
      </c>
    </row>
  </sheetData>
  <sheetProtection/>
  <mergeCells count="37">
    <mergeCell ref="A9:B9"/>
    <mergeCell ref="C9:D9"/>
    <mergeCell ref="M9:N9"/>
    <mergeCell ref="C8:D8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6:N6"/>
    <mergeCell ref="C7:D7"/>
    <mergeCell ref="E7:F7"/>
    <mergeCell ref="G7:H7"/>
    <mergeCell ref="I7:J7"/>
    <mergeCell ref="K7:L7"/>
    <mergeCell ref="M7:N7"/>
    <mergeCell ref="K5:L5"/>
    <mergeCell ref="A6:B6"/>
    <mergeCell ref="C6:D6"/>
    <mergeCell ref="E6:F6"/>
    <mergeCell ref="G6:H6"/>
    <mergeCell ref="I6:J6"/>
    <mergeCell ref="K6:L6"/>
    <mergeCell ref="M5:N5"/>
    <mergeCell ref="A7:B8"/>
    <mergeCell ref="A1:M1"/>
    <mergeCell ref="A2:M2"/>
    <mergeCell ref="A3:M3"/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16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15.57421875" style="13" customWidth="1"/>
    <col min="2" max="2" width="24.00390625" style="21" customWidth="1"/>
    <col min="3" max="3" width="6.57421875" style="13" customWidth="1"/>
    <col min="4" max="4" width="6.140625" style="13" customWidth="1"/>
    <col min="5" max="5" width="7.00390625" style="13" customWidth="1"/>
    <col min="6" max="6" width="5.28125" style="13" customWidth="1"/>
    <col min="7" max="7" width="7.28125" style="13" customWidth="1"/>
    <col min="8" max="8" width="12.28125" style="13" customWidth="1"/>
    <col min="9" max="9" width="11.140625" style="13" customWidth="1"/>
    <col min="10" max="10" width="8.28125" style="13" customWidth="1"/>
    <col min="11" max="11" width="6.7109375" style="13" customWidth="1"/>
    <col min="12" max="12" width="11.00390625" style="20" customWidth="1"/>
    <col min="13" max="16384" width="9.140625" style="13" customWidth="1"/>
  </cols>
  <sheetData>
    <row r="1" spans="1:13" ht="52.5" customHeight="1">
      <c r="A1" s="197" t="s">
        <v>204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8" ht="30.75" customHeight="1">
      <c r="A2" s="204" t="s">
        <v>27</v>
      </c>
      <c r="B2" s="204"/>
      <c r="C2" s="16">
        <v>15172</v>
      </c>
      <c r="D2" s="23"/>
      <c r="E2" s="15"/>
      <c r="F2" s="15"/>
      <c r="G2" s="15"/>
      <c r="H2" s="15"/>
    </row>
    <row r="3" spans="1:8" ht="12.75" customHeight="1">
      <c r="A3" s="22"/>
      <c r="B3" s="22"/>
      <c r="C3" s="14"/>
      <c r="D3" s="15"/>
      <c r="E3" s="15"/>
      <c r="F3" s="15"/>
      <c r="G3" s="15"/>
      <c r="H3" s="15"/>
    </row>
    <row r="4" spans="1:12" ht="14.25" customHeight="1">
      <c r="A4" s="205" t="s">
        <v>72</v>
      </c>
      <c r="B4" s="205" t="s">
        <v>15</v>
      </c>
      <c r="C4" s="198" t="s">
        <v>26</v>
      </c>
      <c r="D4" s="200" t="s">
        <v>162</v>
      </c>
      <c r="E4" s="201"/>
      <c r="F4" s="201"/>
      <c r="G4" s="201"/>
      <c r="H4" s="201"/>
      <c r="I4" s="198" t="s">
        <v>14</v>
      </c>
      <c r="J4" s="198" t="s">
        <v>41</v>
      </c>
      <c r="K4" s="198" t="s">
        <v>64</v>
      </c>
      <c r="L4" s="207" t="s">
        <v>42</v>
      </c>
    </row>
    <row r="5" spans="1:12" ht="129" customHeight="1">
      <c r="A5" s="205"/>
      <c r="B5" s="205"/>
      <c r="C5" s="199"/>
      <c r="D5" s="17" t="s">
        <v>28</v>
      </c>
      <c r="E5" s="17" t="s">
        <v>13</v>
      </c>
      <c r="F5" s="17" t="s">
        <v>43</v>
      </c>
      <c r="G5" s="17" t="s">
        <v>65</v>
      </c>
      <c r="H5" s="17" t="s">
        <v>183</v>
      </c>
      <c r="I5" s="199"/>
      <c r="J5" s="199"/>
      <c r="K5" s="199"/>
      <c r="L5" s="208"/>
    </row>
    <row r="6" spans="1:12" ht="16.5" customHeight="1">
      <c r="A6" s="202" t="s">
        <v>44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42.7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/>
      <c r="G7" s="23">
        <v>6</v>
      </c>
      <c r="H7" s="77" t="s">
        <v>81</v>
      </c>
      <c r="I7" s="78" t="s">
        <v>186</v>
      </c>
      <c r="J7" s="23" t="s">
        <v>63</v>
      </c>
      <c r="K7" s="23">
        <v>10</v>
      </c>
      <c r="L7" s="23" t="s">
        <v>74</v>
      </c>
    </row>
    <row r="8" spans="1:12" ht="30">
      <c r="A8" s="50" t="s">
        <v>214</v>
      </c>
      <c r="B8" s="33" t="str">
        <f>'Комплектование групп'!B7</f>
        <v>Кружок «Предшкольная подготовка»</v>
      </c>
      <c r="C8" s="92">
        <f>'Комплектование групп'!D7</f>
        <v>1</v>
      </c>
      <c r="D8" s="181">
        <f>50/60</f>
        <v>0.83</v>
      </c>
      <c r="E8" s="92">
        <f>C8*D8</f>
        <v>0.83</v>
      </c>
      <c r="F8" s="90"/>
      <c r="G8" s="179">
        <f>E8*4*9</f>
        <v>30</v>
      </c>
      <c r="H8" s="92">
        <f>18*247/5/12</f>
        <v>74.1</v>
      </c>
      <c r="I8" s="93">
        <f>$C$2*5</f>
        <v>75860</v>
      </c>
      <c r="J8" s="94">
        <f>I8/H8</f>
        <v>1023.75</v>
      </c>
      <c r="K8" s="94"/>
      <c r="L8" s="24">
        <f>(J8+K8)*G8</f>
        <v>30712.5</v>
      </c>
    </row>
    <row r="9" spans="1:12" ht="49.5" customHeight="1">
      <c r="A9" s="50" t="s">
        <v>214</v>
      </c>
      <c r="B9" s="33" t="str">
        <f>'Комплектование групп'!B8</f>
        <v>Кружок "Испанский язык."</v>
      </c>
      <c r="C9" s="92">
        <f>'Комплектование групп'!D8</f>
        <v>1</v>
      </c>
      <c r="D9" s="181">
        <f>50/60</f>
        <v>0.83</v>
      </c>
      <c r="E9" s="92">
        <f>C9*D9</f>
        <v>0.83</v>
      </c>
      <c r="F9" s="90"/>
      <c r="G9" s="179">
        <f>E9*4*9</f>
        <v>30</v>
      </c>
      <c r="H9" s="92">
        <f>18*247/5/12</f>
        <v>74.1</v>
      </c>
      <c r="I9" s="93">
        <f>$C$2*5</f>
        <v>75860</v>
      </c>
      <c r="J9" s="94">
        <f>I9/H9</f>
        <v>1023.75</v>
      </c>
      <c r="K9" s="94"/>
      <c r="L9" s="24">
        <f>(J9+K9)*G9</f>
        <v>30712.5</v>
      </c>
    </row>
    <row r="10" spans="1:12" ht="45.75" customHeight="1">
      <c r="A10" s="50" t="s">
        <v>219</v>
      </c>
      <c r="B10" s="33" t="str">
        <f>'Комплектование групп'!B9</f>
        <v>Кружок "Черлидинг" </v>
      </c>
      <c r="C10" s="92">
        <f>'Комплектование групп'!D9</f>
        <v>2</v>
      </c>
      <c r="D10" s="181">
        <f>50/60</f>
        <v>0.83</v>
      </c>
      <c r="E10" s="92">
        <f>C10*D10</f>
        <v>1.66</v>
      </c>
      <c r="F10" s="90"/>
      <c r="G10" s="179">
        <f>E10*4*9</f>
        <v>60</v>
      </c>
      <c r="H10" s="92">
        <f>18*247/5/12</f>
        <v>74.1</v>
      </c>
      <c r="I10" s="93">
        <f>$C$2*5</f>
        <v>75860</v>
      </c>
      <c r="J10" s="94">
        <f>I10/H10</f>
        <v>1023.75</v>
      </c>
      <c r="K10" s="94"/>
      <c r="L10" s="24">
        <f>(J10+K10)*G10</f>
        <v>61425</v>
      </c>
    </row>
    <row r="11" spans="1:12" ht="45.75" customHeight="1">
      <c r="A11" s="50" t="s">
        <v>245</v>
      </c>
      <c r="B11" s="33" t="str">
        <f>'Комплектование групп'!B10</f>
        <v>Кружок "Родительский клуб «Навстречу друг к другу»."</v>
      </c>
      <c r="C11" s="92">
        <f>'Комплектование групп'!D10</f>
        <v>1</v>
      </c>
      <c r="D11" s="181">
        <f>50/60</f>
        <v>0.83</v>
      </c>
      <c r="E11" s="92">
        <f>C11*D11</f>
        <v>0.83</v>
      </c>
      <c r="F11" s="90"/>
      <c r="G11" s="179">
        <f>E11*4*9</f>
        <v>30</v>
      </c>
      <c r="H11" s="92">
        <f>18*247/5/12</f>
        <v>74.1</v>
      </c>
      <c r="I11" s="93">
        <f>$C$2*5</f>
        <v>75860</v>
      </c>
      <c r="J11" s="94">
        <f>I11/H11</f>
        <v>1023.75</v>
      </c>
      <c r="K11" s="94"/>
      <c r="L11" s="24">
        <f>(J11+K11)*G11</f>
        <v>30712.5</v>
      </c>
    </row>
    <row r="12" spans="1:12" s="20" customFormat="1" ht="13.5" customHeight="1">
      <c r="A12" s="206" t="s">
        <v>122</v>
      </c>
      <c r="B12" s="206"/>
      <c r="C12" s="18">
        <f>SUM(C8:C11)</f>
        <v>5</v>
      </c>
      <c r="D12" s="182">
        <f>SUM(D8:D11)</f>
        <v>3.32</v>
      </c>
      <c r="E12" s="18">
        <f>SUM(E8:E11)</f>
        <v>4.15</v>
      </c>
      <c r="F12" s="18">
        <f>SUM(F8:F11)</f>
        <v>0</v>
      </c>
      <c r="G12" s="180">
        <f>SUM(G8:G11)</f>
        <v>150</v>
      </c>
      <c r="H12" s="19"/>
      <c r="I12" s="18"/>
      <c r="J12" s="24"/>
      <c r="K12" s="24"/>
      <c r="L12" s="24">
        <f>SUM(L8:L11)</f>
        <v>153562.5</v>
      </c>
    </row>
    <row r="13" ht="12.75">
      <c r="L13" s="13"/>
    </row>
    <row r="14" ht="12.75">
      <c r="L14" s="13"/>
    </row>
    <row r="15" spans="1:12" ht="18.75" customHeight="1">
      <c r="A15" s="153" t="s">
        <v>251</v>
      </c>
      <c r="J15" s="153" t="s">
        <v>198</v>
      </c>
      <c r="L15" s="13"/>
    </row>
    <row r="16" ht="14.25" customHeight="1">
      <c r="L16" s="13"/>
    </row>
  </sheetData>
  <sheetProtection/>
  <mergeCells count="12">
    <mergeCell ref="A12:B12"/>
    <mergeCell ref="J4:J5"/>
    <mergeCell ref="B4:B5"/>
    <mergeCell ref="K4:K5"/>
    <mergeCell ref="L4:L5"/>
    <mergeCell ref="I4:I5"/>
    <mergeCell ref="A1:M1"/>
    <mergeCell ref="C4:C5"/>
    <mergeCell ref="D4:H4"/>
    <mergeCell ref="A6:L6"/>
    <mergeCell ref="A2:B2"/>
    <mergeCell ref="A4:A5"/>
  </mergeCells>
  <printOptions/>
  <pageMargins left="0.3937007874015748" right="0.31496062992125984" top="0.5118110236220472" bottom="0.2755905511811024" header="0.2755905511811024" footer="0.2755905511811024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K27"/>
  <sheetViews>
    <sheetView zoomScalePageLayoutView="0" workbookViewId="0" topLeftCell="A2">
      <pane xSplit="2" ySplit="4" topLeftCell="C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H6" sqref="H6"/>
    </sheetView>
  </sheetViews>
  <sheetFormatPr defaultColWidth="9.140625" defaultRowHeight="12.75"/>
  <cols>
    <col min="1" max="1" width="4.00390625" style="1" customWidth="1"/>
    <col min="2" max="2" width="31.00390625" style="1" customWidth="1"/>
    <col min="3" max="3" width="9.8515625" style="1" customWidth="1"/>
    <col min="4" max="4" width="21.28125" style="1" customWidth="1"/>
    <col min="5" max="6" width="8.421875" style="1" customWidth="1"/>
    <col min="7" max="7" width="16.57421875" style="1" customWidth="1"/>
    <col min="8" max="8" width="10.140625" style="10" customWidth="1"/>
    <col min="9" max="9" width="8.421875" style="10" customWidth="1"/>
    <col min="10" max="10" width="10.140625" style="10" customWidth="1"/>
    <col min="11" max="11" width="11.7109375" style="1" customWidth="1"/>
    <col min="12" max="16384" width="9.140625" style="1" customWidth="1"/>
  </cols>
  <sheetData>
    <row r="1" s="49" customFormat="1" ht="42" customHeight="1"/>
    <row r="2" spans="1:10" ht="33.75" customHeight="1">
      <c r="A2" s="197" t="s">
        <v>205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7" ht="11.25" customHeight="1">
      <c r="A3" s="211"/>
      <c r="B3" s="211"/>
      <c r="C3" s="211"/>
      <c r="D3" s="211"/>
      <c r="E3" s="211"/>
      <c r="F3" s="61"/>
      <c r="G3" s="12"/>
    </row>
    <row r="4" spans="1:10" ht="104.25" customHeight="1">
      <c r="A4" s="2" t="s">
        <v>2</v>
      </c>
      <c r="B4" s="2" t="s">
        <v>5</v>
      </c>
      <c r="C4" s="2" t="s">
        <v>6</v>
      </c>
      <c r="D4" s="3" t="s">
        <v>88</v>
      </c>
      <c r="E4" s="2" t="s">
        <v>7</v>
      </c>
      <c r="F4" s="2" t="s">
        <v>46</v>
      </c>
      <c r="G4" s="3" t="s">
        <v>8</v>
      </c>
      <c r="H4" s="68" t="s">
        <v>29</v>
      </c>
      <c r="I4" s="68" t="s">
        <v>50</v>
      </c>
      <c r="J4" s="68" t="s">
        <v>45</v>
      </c>
    </row>
    <row r="5" spans="1:10" s="10" customFormat="1" ht="13.5" customHeight="1">
      <c r="A5" s="210" t="s">
        <v>23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3.5" customHeight="1">
      <c r="A6" s="4">
        <v>1</v>
      </c>
      <c r="B6" s="63" t="s">
        <v>209</v>
      </c>
      <c r="C6" s="4"/>
      <c r="D6" s="161">
        <v>23460</v>
      </c>
      <c r="E6" s="4">
        <v>1</v>
      </c>
      <c r="F6" s="62">
        <v>0.05</v>
      </c>
      <c r="G6" s="70">
        <f>D6*E6</f>
        <v>23460</v>
      </c>
      <c r="H6" s="95">
        <f>D6*F6*E6</f>
        <v>1173</v>
      </c>
      <c r="I6" s="53">
        <v>9</v>
      </c>
      <c r="J6" s="95">
        <f>H6*I6</f>
        <v>10557</v>
      </c>
    </row>
    <row r="7" spans="1:10" ht="13.5" customHeight="1">
      <c r="A7" s="4"/>
      <c r="B7" s="63"/>
      <c r="C7" s="4"/>
      <c r="D7" s="4"/>
      <c r="E7" s="4"/>
      <c r="F7" s="62"/>
      <c r="G7" s="70"/>
      <c r="H7" s="95"/>
      <c r="I7" s="53"/>
      <c r="J7" s="95"/>
    </row>
    <row r="8" spans="1:10" ht="13.5" customHeight="1">
      <c r="A8" s="4"/>
      <c r="B8" s="4"/>
      <c r="C8" s="4"/>
      <c r="D8" s="4"/>
      <c r="E8" s="4"/>
      <c r="F8" s="4"/>
      <c r="G8" s="4"/>
      <c r="H8" s="95"/>
      <c r="I8" s="95"/>
      <c r="J8" s="95"/>
    </row>
    <row r="9" spans="1:11" s="10" customFormat="1" ht="13.5" customHeight="1">
      <c r="A9" s="7" t="s">
        <v>1</v>
      </c>
      <c r="B9" s="7" t="s">
        <v>132</v>
      </c>
      <c r="C9" s="7">
        <f>SUM(C6:C7)</f>
        <v>0</v>
      </c>
      <c r="D9" s="7"/>
      <c r="E9" s="7"/>
      <c r="F9" s="7"/>
      <c r="G9" s="7" t="s">
        <v>48</v>
      </c>
      <c r="H9" s="51">
        <f>H6+H8+H7</f>
        <v>1173</v>
      </c>
      <c r="I9" s="51"/>
      <c r="J9" s="51">
        <f>J6</f>
        <v>10557</v>
      </c>
      <c r="K9" s="8"/>
    </row>
    <row r="10" spans="1:10" s="10" customFormat="1" ht="13.5" customHeight="1">
      <c r="A10" s="212" t="s">
        <v>11</v>
      </c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10" ht="12.75" customHeight="1">
      <c r="A11" s="4">
        <v>1</v>
      </c>
      <c r="B11" s="63"/>
      <c r="C11" s="4"/>
      <c r="D11" s="4"/>
      <c r="E11" s="4"/>
      <c r="F11" s="4"/>
      <c r="G11" s="4">
        <f>D11*E11</f>
        <v>0</v>
      </c>
      <c r="H11" s="5">
        <f>G11*C11</f>
        <v>0</v>
      </c>
      <c r="I11" s="53"/>
      <c r="J11" s="52">
        <f>H11*I11</f>
        <v>0</v>
      </c>
    </row>
    <row r="12" spans="1:10" ht="14.25" customHeight="1">
      <c r="A12" s="4">
        <v>2</v>
      </c>
      <c r="B12" s="63"/>
      <c r="C12" s="4"/>
      <c r="D12" s="4"/>
      <c r="E12" s="4"/>
      <c r="F12" s="4"/>
      <c r="G12" s="4">
        <f>D12*E12</f>
        <v>0</v>
      </c>
      <c r="H12" s="5">
        <f>G12*C12</f>
        <v>0</v>
      </c>
      <c r="I12" s="53"/>
      <c r="J12" s="52">
        <f>H12*I12</f>
        <v>0</v>
      </c>
    </row>
    <row r="13" spans="1:10" ht="18" customHeight="1">
      <c r="A13" s="4">
        <v>3</v>
      </c>
      <c r="B13" s="63"/>
      <c r="C13" s="4"/>
      <c r="D13" s="4"/>
      <c r="E13" s="4"/>
      <c r="F13" s="4"/>
      <c r="G13" s="4">
        <f>D13*E13</f>
        <v>0</v>
      </c>
      <c r="H13" s="5">
        <f>G13*C13</f>
        <v>0</v>
      </c>
      <c r="I13" s="53"/>
      <c r="J13" s="52">
        <f>H13*I13</f>
        <v>0</v>
      </c>
    </row>
    <row r="14" spans="1:10" s="10" customFormat="1" ht="24.75" customHeight="1">
      <c r="A14" s="7" t="s">
        <v>1</v>
      </c>
      <c r="B14" s="9" t="s">
        <v>9</v>
      </c>
      <c r="C14" s="7">
        <f>SUM(C11:C13)</f>
        <v>0</v>
      </c>
      <c r="D14" s="7"/>
      <c r="E14" s="7"/>
      <c r="F14" s="7"/>
      <c r="G14" s="7"/>
      <c r="H14" s="95">
        <f>SUM(H11:H13)</f>
        <v>0</v>
      </c>
      <c r="I14" s="95"/>
      <c r="J14" s="95">
        <f>SUM(J11:J13)</f>
        <v>0</v>
      </c>
    </row>
    <row r="15" spans="1:10" s="11" customFormat="1" ht="16.5" customHeight="1">
      <c r="A15" s="210" t="s">
        <v>22</v>
      </c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ht="15.75" customHeight="1">
      <c r="A16" s="4">
        <v>1</v>
      </c>
      <c r="B16" s="63"/>
      <c r="C16" s="4"/>
      <c r="D16" s="4"/>
      <c r="E16" s="4"/>
      <c r="F16" s="4"/>
      <c r="G16" s="4">
        <f>D16*E16</f>
        <v>0</v>
      </c>
      <c r="H16" s="25">
        <f>G16*C16</f>
        <v>0</v>
      </c>
      <c r="I16" s="53"/>
      <c r="J16" s="52">
        <f>H16*I16</f>
        <v>0</v>
      </c>
    </row>
    <row r="17" spans="1:10" ht="14.25" customHeight="1">
      <c r="A17" s="4">
        <v>2</v>
      </c>
      <c r="B17" s="63"/>
      <c r="C17" s="4"/>
      <c r="D17" s="4"/>
      <c r="E17" s="4"/>
      <c r="F17" s="4"/>
      <c r="G17" s="4">
        <f>D17*E17</f>
        <v>0</v>
      </c>
      <c r="H17" s="25">
        <f>G17*C17</f>
        <v>0</v>
      </c>
      <c r="I17" s="53"/>
      <c r="J17" s="52">
        <f>H17*I17</f>
        <v>0</v>
      </c>
    </row>
    <row r="18" spans="1:10" s="10" customFormat="1" ht="12" customHeight="1">
      <c r="A18" s="7"/>
      <c r="B18" s="7" t="s">
        <v>10</v>
      </c>
      <c r="C18" s="7">
        <f>SUM(A18:B18)</f>
        <v>0</v>
      </c>
      <c r="D18" s="7"/>
      <c r="E18" s="7"/>
      <c r="F18" s="7"/>
      <c r="G18" s="7"/>
      <c r="H18" s="96">
        <f>SUM(H16:H17)</f>
        <v>0</v>
      </c>
      <c r="I18" s="96"/>
      <c r="J18" s="96">
        <f>SUM(J16:J17)</f>
        <v>0</v>
      </c>
    </row>
    <row r="19" spans="1:10" ht="14.25" customHeight="1">
      <c r="A19" s="210" t="s">
        <v>12</v>
      </c>
      <c r="B19" s="210"/>
      <c r="C19" s="67">
        <f>C9+C14+C18</f>
        <v>0</v>
      </c>
      <c r="D19" s="5"/>
      <c r="E19" s="5"/>
      <c r="F19" s="5"/>
      <c r="G19" s="5"/>
      <c r="H19" s="95">
        <f>H8+H14+H18</f>
        <v>0</v>
      </c>
      <c r="I19" s="95">
        <v>9</v>
      </c>
      <c r="J19" s="95">
        <f>J7</f>
        <v>0</v>
      </c>
    </row>
    <row r="20" spans="1:10" ht="12.75">
      <c r="A20" s="213" t="s">
        <v>49</v>
      </c>
      <c r="B20" s="214"/>
      <c r="C20" s="6"/>
      <c r="D20" s="6"/>
      <c r="E20" s="6"/>
      <c r="F20" s="6"/>
      <c r="G20" s="6"/>
      <c r="H20" s="51">
        <f>H19+H9</f>
        <v>1173</v>
      </c>
      <c r="I20" s="5"/>
      <c r="J20" s="51">
        <f>J19+J9</f>
        <v>10557</v>
      </c>
    </row>
    <row r="21" spans="1:10" ht="25.5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</row>
    <row r="22" spans="2:8" s="13" customFormat="1" ht="21" customHeight="1">
      <c r="B22" s="153" t="s">
        <v>197</v>
      </c>
      <c r="C22" s="21"/>
      <c r="H22" s="153" t="s">
        <v>198</v>
      </c>
    </row>
    <row r="23" s="13" customFormat="1" ht="12.75">
      <c r="B23" s="21"/>
    </row>
    <row r="24" s="13" customFormat="1" ht="12.75">
      <c r="B24" s="21"/>
    </row>
    <row r="25" s="13" customFormat="1" ht="12.75">
      <c r="B25" s="21"/>
    </row>
    <row r="26" s="13" customFormat="1" ht="18.75" customHeight="1">
      <c r="B26" s="21"/>
    </row>
    <row r="27" s="13" customFormat="1" ht="14.25" customHeight="1">
      <c r="B27" s="21"/>
    </row>
  </sheetData>
  <sheetProtection/>
  <mergeCells count="8">
    <mergeCell ref="A2:J2"/>
    <mergeCell ref="A21:J21"/>
    <mergeCell ref="A5:J5"/>
    <mergeCell ref="A3:E3"/>
    <mergeCell ref="A19:B19"/>
    <mergeCell ref="A10:J10"/>
    <mergeCell ref="A15:J15"/>
    <mergeCell ref="A20:B20"/>
  </mergeCells>
  <printOptions/>
  <pageMargins left="0.2755905511811024" right="0.2755905511811024" top="0.35433070866141736" bottom="0.31496062992125984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30"/>
  <sheetViews>
    <sheetView zoomScalePageLayoutView="0" workbookViewId="0" topLeftCell="A16">
      <selection activeCell="E16" sqref="E16"/>
    </sheetView>
  </sheetViews>
  <sheetFormatPr defaultColWidth="9.140625" defaultRowHeight="12.75"/>
  <cols>
    <col min="1" max="1" width="36.140625" style="71" customWidth="1"/>
    <col min="2" max="2" width="13.8515625" style="71" customWidth="1"/>
    <col min="3" max="3" width="13.7109375" style="71" customWidth="1"/>
    <col min="4" max="4" width="15.421875" style="71" customWidth="1"/>
    <col min="5" max="5" width="14.140625" style="71" customWidth="1"/>
    <col min="6" max="6" width="13.28125" style="71" customWidth="1"/>
    <col min="7" max="7" width="12.421875" style="71" customWidth="1"/>
    <col min="8" max="8" width="12.7109375" style="71" customWidth="1"/>
    <col min="9" max="9" width="24.57421875" style="71" customWidth="1"/>
    <col min="10" max="10" width="8.7109375" style="71" customWidth="1"/>
    <col min="11" max="16384" width="9.140625" style="71" customWidth="1"/>
  </cols>
  <sheetData>
    <row r="1" spans="1:8" ht="41.25" customHeight="1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10" ht="18.75" customHeight="1">
      <c r="A2" s="221" t="s">
        <v>206</v>
      </c>
      <c r="B2" s="221"/>
      <c r="C2" s="221"/>
      <c r="D2" s="221"/>
      <c r="E2" s="221"/>
      <c r="F2" s="221"/>
      <c r="G2" s="221"/>
      <c r="H2" s="221"/>
      <c r="I2" s="26"/>
      <c r="J2" s="26"/>
    </row>
    <row r="3" spans="1:10" ht="15.75" customHeight="1">
      <c r="A3" s="27"/>
      <c r="B3" s="217"/>
      <c r="C3" s="222"/>
      <c r="D3" s="215" t="s">
        <v>82</v>
      </c>
      <c r="E3" s="215"/>
      <c r="F3" s="215"/>
      <c r="G3" s="217"/>
      <c r="I3" s="224"/>
      <c r="J3" s="224"/>
    </row>
    <row r="4" spans="1:10" ht="51" customHeight="1">
      <c r="A4" s="223" t="s">
        <v>152</v>
      </c>
      <c r="B4" s="217"/>
      <c r="C4" s="222"/>
      <c r="D4" s="216"/>
      <c r="E4" s="216"/>
      <c r="F4" s="216"/>
      <c r="G4" s="217"/>
      <c r="I4" s="224"/>
      <c r="J4" s="224"/>
    </row>
    <row r="5" spans="1:10" ht="15.75" customHeight="1">
      <c r="A5" s="223"/>
      <c r="B5" s="28"/>
      <c r="C5" s="28"/>
      <c r="D5" s="28">
        <v>2021</v>
      </c>
      <c r="E5" s="28"/>
      <c r="F5" s="28"/>
      <c r="G5" s="28"/>
      <c r="H5" s="57"/>
      <c r="I5" s="57"/>
      <c r="J5" s="57"/>
    </row>
    <row r="6" spans="1:10" ht="15.75">
      <c r="A6" s="30" t="s">
        <v>21</v>
      </c>
      <c r="B6" s="30"/>
      <c r="C6" s="30"/>
      <c r="D6" s="30" t="s">
        <v>54</v>
      </c>
      <c r="E6" s="30"/>
      <c r="F6" s="30"/>
      <c r="G6" s="30"/>
      <c r="H6" s="58"/>
      <c r="I6" s="58"/>
      <c r="J6" s="58"/>
    </row>
    <row r="7" spans="1:10" ht="15.75">
      <c r="A7" s="27">
        <v>2021</v>
      </c>
      <c r="B7" s="99"/>
      <c r="C7" s="99"/>
      <c r="D7" s="99">
        <v>103115.4</v>
      </c>
      <c r="E7" s="100"/>
      <c r="F7" s="100">
        <v>0</v>
      </c>
      <c r="G7" s="99">
        <v>0</v>
      </c>
      <c r="H7" s="59"/>
      <c r="I7" s="59"/>
      <c r="J7" s="59"/>
    </row>
    <row r="8" spans="1:10" ht="15.75">
      <c r="A8" s="29" t="s">
        <v>12</v>
      </c>
      <c r="B8" s="101">
        <f aca="true" t="shared" si="0" ref="B8:G8">SUM(B7:B7)</f>
        <v>0</v>
      </c>
      <c r="C8" s="101">
        <f t="shared" si="0"/>
        <v>0</v>
      </c>
      <c r="D8" s="101">
        <f t="shared" si="0"/>
        <v>103115.4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60"/>
      <c r="I8" s="60"/>
      <c r="J8" s="60"/>
    </row>
    <row r="9" spans="1:11" ht="34.5" customHeight="1">
      <c r="A9" s="29" t="s">
        <v>24</v>
      </c>
      <c r="B9" s="234"/>
      <c r="C9" s="235"/>
      <c r="D9" s="235"/>
      <c r="E9" s="235"/>
      <c r="F9" s="236"/>
      <c r="G9" s="69">
        <f>F7+E7+D7+C7+B7+G7</f>
        <v>103115.4</v>
      </c>
      <c r="I9" s="225"/>
      <c r="J9" s="226"/>
      <c r="K9" s="72"/>
    </row>
    <row r="10" spans="1:10" ht="31.5">
      <c r="A10" s="29" t="s">
        <v>190</v>
      </c>
      <c r="B10" s="102">
        <f>G9*1.15</f>
        <v>118582.7</v>
      </c>
      <c r="C10" s="27"/>
      <c r="D10" s="27"/>
      <c r="E10" s="27"/>
      <c r="F10" s="27"/>
      <c r="G10" s="27"/>
      <c r="I10" s="227"/>
      <c r="J10" s="227"/>
    </row>
    <row r="11" spans="1:10" ht="24" customHeight="1">
      <c r="A11" s="228" t="s">
        <v>55</v>
      </c>
      <c r="B11" s="229"/>
      <c r="C11" s="229"/>
      <c r="D11" s="229"/>
      <c r="E11" s="229"/>
      <c r="F11" s="230"/>
      <c r="G11" s="97">
        <v>4003.2</v>
      </c>
      <c r="I11" s="73"/>
      <c r="J11" s="73"/>
    </row>
    <row r="12" spans="1:10" ht="24" customHeight="1">
      <c r="A12" s="231" t="s">
        <v>56</v>
      </c>
      <c r="B12" s="232"/>
      <c r="C12" s="232"/>
      <c r="D12" s="232"/>
      <c r="E12" s="232"/>
      <c r="F12" s="233"/>
      <c r="G12" s="97">
        <f>B10/G11/12</f>
        <v>2.47</v>
      </c>
      <c r="I12" s="73"/>
      <c r="J12" s="73"/>
    </row>
    <row r="13" spans="1:10" ht="58.5" customHeight="1">
      <c r="A13" s="215" t="s">
        <v>57</v>
      </c>
      <c r="B13" s="162" t="s">
        <v>210</v>
      </c>
      <c r="C13" s="162" t="s">
        <v>211</v>
      </c>
      <c r="D13" s="162" t="s">
        <v>212</v>
      </c>
      <c r="E13" s="162" t="s">
        <v>213</v>
      </c>
      <c r="F13" s="162"/>
      <c r="G13" s="162"/>
      <c r="I13" s="73"/>
      <c r="J13" s="73"/>
    </row>
    <row r="14" spans="1:10" ht="21" customHeight="1">
      <c r="A14" s="216"/>
      <c r="B14" s="160">
        <v>48.4</v>
      </c>
      <c r="C14" s="160">
        <v>48.4</v>
      </c>
      <c r="D14" s="160">
        <v>75.8</v>
      </c>
      <c r="E14" s="160">
        <v>48.4</v>
      </c>
      <c r="F14" s="160"/>
      <c r="G14" s="160"/>
      <c r="I14" s="73"/>
      <c r="J14" s="73"/>
    </row>
    <row r="15" spans="1:10" ht="78.75" customHeight="1">
      <c r="A15" s="74" t="s">
        <v>58</v>
      </c>
      <c r="B15" s="163">
        <v>20</v>
      </c>
      <c r="C15" s="28">
        <v>20</v>
      </c>
      <c r="D15" s="28">
        <v>20</v>
      </c>
      <c r="E15" s="28">
        <v>20</v>
      </c>
      <c r="F15" s="27"/>
      <c r="G15" s="27"/>
      <c r="I15" s="73"/>
      <c r="J15" s="73"/>
    </row>
    <row r="16" spans="1:10" ht="52.5" customHeight="1">
      <c r="A16" s="74" t="s">
        <v>59</v>
      </c>
      <c r="B16" s="28">
        <v>10</v>
      </c>
      <c r="C16" s="28">
        <v>10</v>
      </c>
      <c r="D16" s="28">
        <v>10</v>
      </c>
      <c r="E16" s="28">
        <v>10</v>
      </c>
      <c r="F16" s="27"/>
      <c r="G16" s="27"/>
      <c r="I16" s="73"/>
      <c r="J16" s="73"/>
    </row>
    <row r="17" spans="1:10" ht="28.5">
      <c r="A17" s="74" t="s">
        <v>60</v>
      </c>
      <c r="B17" s="178">
        <f>(B14*G12)/(B15+B16)</f>
        <v>4</v>
      </c>
      <c r="C17" s="178">
        <f>(C14*G12)/(C15+C16)</f>
        <v>4</v>
      </c>
      <c r="D17" s="178">
        <f>(D14*G12)/(D15+D16)</f>
        <v>6.2</v>
      </c>
      <c r="E17" s="178">
        <f>(E14*G12)/(E15+E16)</f>
        <v>4</v>
      </c>
      <c r="F17" s="91"/>
      <c r="G17" s="86"/>
      <c r="I17" s="73"/>
      <c r="J17" s="73"/>
    </row>
    <row r="18" spans="1:10" ht="28.5" customHeight="1">
      <c r="A18" s="219" t="s">
        <v>215</v>
      </c>
      <c r="B18" s="220"/>
      <c r="C18" s="220"/>
      <c r="D18" s="220"/>
      <c r="E18" s="220"/>
      <c r="F18" s="220"/>
      <c r="G18" s="220"/>
      <c r="H18" s="98">
        <f>('нагрузка,ФОТ'!G8+'нагрузка,ФОТ'!G9)/9</f>
        <v>6.67</v>
      </c>
      <c r="I18" s="75"/>
      <c r="J18" s="76"/>
    </row>
    <row r="19" spans="1:10" ht="28.5" customHeight="1">
      <c r="A19" s="219" t="s">
        <v>221</v>
      </c>
      <c r="B19" s="220"/>
      <c r="C19" s="220"/>
      <c r="D19" s="220"/>
      <c r="E19" s="220"/>
      <c r="F19" s="220"/>
      <c r="G19" s="220"/>
      <c r="H19" s="98">
        <f>'нагрузка,ФОТ'!G10/9</f>
        <v>6.67</v>
      </c>
      <c r="I19" s="75"/>
      <c r="J19" s="76"/>
    </row>
    <row r="20" spans="1:10" ht="28.5" customHeight="1">
      <c r="A20" s="219" t="s">
        <v>222</v>
      </c>
      <c r="B20" s="220"/>
      <c r="C20" s="220"/>
      <c r="D20" s="220"/>
      <c r="E20" s="220"/>
      <c r="F20" s="220"/>
      <c r="G20" s="220"/>
      <c r="H20" s="98">
        <f>'нагрузка,ФОТ'!G11/9</f>
        <v>3.33</v>
      </c>
      <c r="I20" s="75"/>
      <c r="J20" s="76"/>
    </row>
    <row r="21" spans="1:8" ht="30" customHeight="1">
      <c r="A21" s="218" t="s">
        <v>216</v>
      </c>
      <c r="B21" s="218"/>
      <c r="C21" s="218"/>
      <c r="D21" s="218"/>
      <c r="E21" s="218"/>
      <c r="F21" s="218"/>
      <c r="G21" s="218"/>
      <c r="H21" s="164">
        <f>(B17+C17)/H18</f>
        <v>1.2</v>
      </c>
    </row>
    <row r="22" spans="1:8" ht="30" customHeight="1">
      <c r="A22" s="218" t="s">
        <v>223</v>
      </c>
      <c r="B22" s="218"/>
      <c r="C22" s="218"/>
      <c r="D22" s="218"/>
      <c r="E22" s="218"/>
      <c r="F22" s="218"/>
      <c r="G22" s="218"/>
      <c r="H22" s="164">
        <f>D17/H19</f>
        <v>0.93</v>
      </c>
    </row>
    <row r="23" spans="1:8" ht="30" customHeight="1">
      <c r="A23" s="218" t="s">
        <v>220</v>
      </c>
      <c r="B23" s="218"/>
      <c r="C23" s="218"/>
      <c r="D23" s="218"/>
      <c r="E23" s="218"/>
      <c r="F23" s="218"/>
      <c r="G23" s="218"/>
      <c r="H23" s="164">
        <f>E17/H20</f>
        <v>1.2</v>
      </c>
    </row>
    <row r="25" spans="1:7" s="13" customFormat="1" ht="21" customHeight="1">
      <c r="A25" s="153" t="s">
        <v>197</v>
      </c>
      <c r="B25" s="21"/>
      <c r="G25" s="153" t="s">
        <v>198</v>
      </c>
    </row>
    <row r="26" s="13" customFormat="1" ht="12.75">
      <c r="B26" s="21"/>
    </row>
    <row r="27" s="13" customFormat="1" ht="12.75">
      <c r="B27" s="21"/>
    </row>
    <row r="28" s="13" customFormat="1" ht="12.75">
      <c r="B28" s="21"/>
    </row>
    <row r="29" s="13" customFormat="1" ht="18.75" customHeight="1">
      <c r="B29" s="21"/>
    </row>
    <row r="30" s="13" customFormat="1" ht="14.25" customHeight="1">
      <c r="B30" s="21"/>
    </row>
  </sheetData>
  <sheetProtection/>
  <mergeCells count="22">
    <mergeCell ref="B9:F9"/>
    <mergeCell ref="A18:G18"/>
    <mergeCell ref="E3:E4"/>
    <mergeCell ref="A4:A5"/>
    <mergeCell ref="A20:G20"/>
    <mergeCell ref="A23:G23"/>
    <mergeCell ref="A22:G22"/>
    <mergeCell ref="I3:J4"/>
    <mergeCell ref="I9:J9"/>
    <mergeCell ref="I10:J10"/>
    <mergeCell ref="A11:F11"/>
    <mergeCell ref="A12:F12"/>
    <mergeCell ref="F3:F4"/>
    <mergeCell ref="B3:B4"/>
    <mergeCell ref="A13:A14"/>
    <mergeCell ref="A21:G21"/>
    <mergeCell ref="A19:G19"/>
    <mergeCell ref="A1:H1"/>
    <mergeCell ref="A2:H2"/>
    <mergeCell ref="G3:G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5"/>
  <sheetViews>
    <sheetView zoomScalePageLayoutView="0" workbookViewId="0" topLeftCell="A16">
      <selection activeCell="F16" sqref="F16"/>
    </sheetView>
  </sheetViews>
  <sheetFormatPr defaultColWidth="9.140625" defaultRowHeight="12.75"/>
  <cols>
    <col min="1" max="1" width="36.140625" style="71" customWidth="1"/>
    <col min="2" max="2" width="13.8515625" style="71" customWidth="1"/>
    <col min="3" max="3" width="13.7109375" style="71" customWidth="1"/>
    <col min="4" max="4" width="15.421875" style="71" customWidth="1"/>
    <col min="5" max="5" width="18.00390625" style="71" customWidth="1"/>
    <col min="6" max="6" width="13.28125" style="71" customWidth="1"/>
    <col min="7" max="7" width="12.421875" style="71" customWidth="1"/>
    <col min="8" max="8" width="12.7109375" style="71" customWidth="1"/>
    <col min="9" max="9" width="24.57421875" style="71" customWidth="1"/>
    <col min="10" max="10" width="8.7109375" style="71" customWidth="1"/>
    <col min="11" max="16384" width="9.140625" style="71" customWidth="1"/>
  </cols>
  <sheetData>
    <row r="1" spans="1:8" ht="41.25" customHeight="1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10" ht="18.75" customHeight="1">
      <c r="A2" s="221" t="s">
        <v>206</v>
      </c>
      <c r="B2" s="221"/>
      <c r="C2" s="221"/>
      <c r="D2" s="221"/>
      <c r="E2" s="221"/>
      <c r="F2" s="221"/>
      <c r="G2" s="221"/>
      <c r="H2" s="221"/>
      <c r="I2" s="26"/>
      <c r="J2" s="26"/>
    </row>
    <row r="3" spans="1:10" ht="15.75" customHeight="1">
      <c r="A3" s="27"/>
      <c r="B3" s="217" t="s">
        <v>30</v>
      </c>
      <c r="C3" s="222"/>
      <c r="D3" s="215"/>
      <c r="E3" s="215"/>
      <c r="F3" s="215"/>
      <c r="G3" s="217"/>
      <c r="I3" s="224"/>
      <c r="J3" s="224"/>
    </row>
    <row r="4" spans="1:10" ht="51" customHeight="1">
      <c r="A4" s="223" t="s">
        <v>152</v>
      </c>
      <c r="B4" s="217"/>
      <c r="C4" s="222"/>
      <c r="D4" s="216"/>
      <c r="E4" s="216"/>
      <c r="F4" s="216"/>
      <c r="G4" s="217"/>
      <c r="I4" s="224"/>
      <c r="J4" s="224"/>
    </row>
    <row r="5" spans="1:10" ht="15" customHeight="1">
      <c r="A5" s="223"/>
      <c r="B5" s="28">
        <v>2021</v>
      </c>
      <c r="C5" s="28"/>
      <c r="D5" s="28"/>
      <c r="E5" s="28"/>
      <c r="F5" s="28"/>
      <c r="G5" s="28"/>
      <c r="H5" s="57"/>
      <c r="I5" s="57"/>
      <c r="J5" s="57"/>
    </row>
    <row r="6" spans="1:10" ht="15.75">
      <c r="A6" s="30" t="s">
        <v>21</v>
      </c>
      <c r="B6" s="30" t="s">
        <v>54</v>
      </c>
      <c r="C6" s="30"/>
      <c r="D6" s="30"/>
      <c r="E6" s="30"/>
      <c r="F6" s="30"/>
      <c r="G6" s="30"/>
      <c r="H6" s="58"/>
      <c r="I6" s="58"/>
      <c r="J6" s="58"/>
    </row>
    <row r="7" spans="1:10" ht="15.75">
      <c r="A7" s="27">
        <v>2021</v>
      </c>
      <c r="B7" s="99">
        <v>743497.8</v>
      </c>
      <c r="C7" s="99"/>
      <c r="D7" s="99"/>
      <c r="E7" s="100"/>
      <c r="F7" s="100"/>
      <c r="G7" s="99"/>
      <c r="H7" s="59"/>
      <c r="I7" s="59"/>
      <c r="J7" s="59"/>
    </row>
    <row r="8" spans="1:10" ht="15.75">
      <c r="A8" s="29" t="s">
        <v>12</v>
      </c>
      <c r="B8" s="101">
        <f aca="true" t="shared" si="0" ref="B8:G8">SUM(B7:B7)</f>
        <v>743497.8</v>
      </c>
      <c r="C8" s="101">
        <f t="shared" si="0"/>
        <v>0</v>
      </c>
      <c r="D8" s="101">
        <f t="shared" si="0"/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60"/>
      <c r="I8" s="60"/>
      <c r="J8" s="60"/>
    </row>
    <row r="9" spans="1:11" ht="34.5" customHeight="1">
      <c r="A9" s="29" t="s">
        <v>24</v>
      </c>
      <c r="B9" s="234"/>
      <c r="C9" s="235"/>
      <c r="D9" s="235"/>
      <c r="E9" s="235"/>
      <c r="F9" s="236"/>
      <c r="G9" s="69">
        <f>F7+E7+D7+C7+B7+G7</f>
        <v>743497.8</v>
      </c>
      <c r="I9" s="225"/>
      <c r="J9" s="226"/>
      <c r="K9" s="72"/>
    </row>
    <row r="10" spans="1:10" ht="31.5">
      <c r="A10" s="29" t="s">
        <v>190</v>
      </c>
      <c r="B10" s="102">
        <f>G9*1.15</f>
        <v>855022.5</v>
      </c>
      <c r="C10" s="27"/>
      <c r="D10" s="27"/>
      <c r="E10" s="27"/>
      <c r="F10" s="27"/>
      <c r="G10" s="27"/>
      <c r="I10" s="227"/>
      <c r="J10" s="227"/>
    </row>
    <row r="11" spans="1:10" ht="24" customHeight="1">
      <c r="A11" s="228" t="s">
        <v>55</v>
      </c>
      <c r="B11" s="229"/>
      <c r="C11" s="229"/>
      <c r="D11" s="229"/>
      <c r="E11" s="229"/>
      <c r="F11" s="230"/>
      <c r="G11" s="97">
        <v>4003.2</v>
      </c>
      <c r="I11" s="73"/>
      <c r="J11" s="73"/>
    </row>
    <row r="12" spans="1:10" ht="24" customHeight="1">
      <c r="A12" s="231" t="s">
        <v>56</v>
      </c>
      <c r="B12" s="232"/>
      <c r="C12" s="232"/>
      <c r="D12" s="232"/>
      <c r="E12" s="232"/>
      <c r="F12" s="233"/>
      <c r="G12" s="97">
        <f>B10/G11/12</f>
        <v>17.8</v>
      </c>
      <c r="I12" s="73"/>
      <c r="J12" s="73"/>
    </row>
    <row r="13" spans="1:10" ht="58.5" customHeight="1">
      <c r="A13" s="215" t="s">
        <v>57</v>
      </c>
      <c r="B13" s="162" t="s">
        <v>210</v>
      </c>
      <c r="C13" s="162" t="s">
        <v>211</v>
      </c>
      <c r="D13" s="162" t="s">
        <v>212</v>
      </c>
      <c r="E13" s="162" t="s">
        <v>213</v>
      </c>
      <c r="F13" s="162"/>
      <c r="G13" s="162"/>
      <c r="I13" s="73"/>
      <c r="J13" s="73"/>
    </row>
    <row r="14" spans="1:10" ht="21" customHeight="1">
      <c r="A14" s="216"/>
      <c r="B14" s="160">
        <v>48.4</v>
      </c>
      <c r="C14" s="160">
        <v>48.4</v>
      </c>
      <c r="D14" s="160">
        <v>75.8</v>
      </c>
      <c r="E14" s="160">
        <v>48.4</v>
      </c>
      <c r="F14" s="160"/>
      <c r="G14" s="160"/>
      <c r="I14" s="73"/>
      <c r="J14" s="73"/>
    </row>
    <row r="15" spans="1:10" ht="78.75" customHeight="1">
      <c r="A15" s="74" t="s">
        <v>58</v>
      </c>
      <c r="B15" s="163">
        <v>20</v>
      </c>
      <c r="C15" s="28">
        <v>20</v>
      </c>
      <c r="D15" s="28">
        <v>20</v>
      </c>
      <c r="E15" s="28">
        <v>20</v>
      </c>
      <c r="F15" s="27"/>
      <c r="G15" s="27"/>
      <c r="I15" s="73"/>
      <c r="J15" s="73"/>
    </row>
    <row r="16" spans="1:10" ht="52.5" customHeight="1">
      <c r="A16" s="74" t="s">
        <v>59</v>
      </c>
      <c r="B16" s="28">
        <v>10</v>
      </c>
      <c r="C16" s="28">
        <v>10</v>
      </c>
      <c r="D16" s="28">
        <v>10</v>
      </c>
      <c r="E16" s="28">
        <v>10</v>
      </c>
      <c r="F16" s="27"/>
      <c r="G16" s="27"/>
      <c r="I16" s="73"/>
      <c r="J16" s="73"/>
    </row>
    <row r="17" spans="1:10" ht="28.5">
      <c r="A17" s="74" t="s">
        <v>60</v>
      </c>
      <c r="B17" s="178">
        <f>(B14*G12)/(B15+B16)</f>
        <v>28.7</v>
      </c>
      <c r="C17" s="178">
        <f>(C14*G12)/(C15+C16)</f>
        <v>28.7</v>
      </c>
      <c r="D17" s="178">
        <f>(D14*G12)/(D15+D16)</f>
        <v>45</v>
      </c>
      <c r="E17" s="178">
        <f>(E14*G12)/(E15+E16)</f>
        <v>28.7</v>
      </c>
      <c r="F17" s="91"/>
      <c r="G17" s="86"/>
      <c r="I17" s="73"/>
      <c r="J17" s="73"/>
    </row>
    <row r="18" spans="1:10" ht="28.5" customHeight="1">
      <c r="A18" s="219" t="s">
        <v>215</v>
      </c>
      <c r="B18" s="220"/>
      <c r="C18" s="220"/>
      <c r="D18" s="220"/>
      <c r="E18" s="220"/>
      <c r="F18" s="220"/>
      <c r="G18" s="220"/>
      <c r="H18" s="98">
        <f>('нагрузка,ФОТ'!G8+'нагрузка,ФОТ'!G9)/9</f>
        <v>6.67</v>
      </c>
      <c r="I18" s="75"/>
      <c r="J18" s="76"/>
    </row>
    <row r="19" spans="1:10" ht="28.5" customHeight="1">
      <c r="A19" s="219" t="s">
        <v>221</v>
      </c>
      <c r="B19" s="220"/>
      <c r="C19" s="220"/>
      <c r="D19" s="220"/>
      <c r="E19" s="220"/>
      <c r="F19" s="220"/>
      <c r="G19" s="220"/>
      <c r="H19" s="98">
        <f>'нагрузка,ФОТ'!G10/9</f>
        <v>6.67</v>
      </c>
      <c r="I19" s="75"/>
      <c r="J19" s="76"/>
    </row>
    <row r="20" spans="1:10" ht="28.5" customHeight="1">
      <c r="A20" s="219" t="s">
        <v>222</v>
      </c>
      <c r="B20" s="220"/>
      <c r="C20" s="220"/>
      <c r="D20" s="220"/>
      <c r="E20" s="220"/>
      <c r="F20" s="220"/>
      <c r="G20" s="220"/>
      <c r="H20" s="98">
        <f>'нагрузка,ФОТ'!G11/9</f>
        <v>3.33</v>
      </c>
      <c r="I20" s="75"/>
      <c r="J20" s="76"/>
    </row>
    <row r="21" spans="1:8" ht="30" customHeight="1">
      <c r="A21" s="218" t="s">
        <v>216</v>
      </c>
      <c r="B21" s="218"/>
      <c r="C21" s="218"/>
      <c r="D21" s="218"/>
      <c r="E21" s="218"/>
      <c r="F21" s="218"/>
      <c r="G21" s="218"/>
      <c r="H21" s="164">
        <f>(B17+C17)/H18</f>
        <v>8.61</v>
      </c>
    </row>
    <row r="22" spans="1:8" ht="30" customHeight="1">
      <c r="A22" s="218" t="s">
        <v>223</v>
      </c>
      <c r="B22" s="218"/>
      <c r="C22" s="218"/>
      <c r="D22" s="218"/>
      <c r="E22" s="218"/>
      <c r="F22" s="218"/>
      <c r="G22" s="218"/>
      <c r="H22" s="164">
        <f>D17/H19</f>
        <v>6.75</v>
      </c>
    </row>
    <row r="23" spans="1:8" ht="30" customHeight="1">
      <c r="A23" s="218" t="s">
        <v>220</v>
      </c>
      <c r="B23" s="218"/>
      <c r="C23" s="218"/>
      <c r="D23" s="218"/>
      <c r="E23" s="218"/>
      <c r="F23" s="218"/>
      <c r="G23" s="218"/>
      <c r="H23" s="164">
        <f>E17/H20</f>
        <v>8.62</v>
      </c>
    </row>
    <row r="25" spans="1:7" s="13" customFormat="1" ht="21" customHeight="1">
      <c r="A25" s="153" t="s">
        <v>197</v>
      </c>
      <c r="B25" s="21"/>
      <c r="G25" s="153" t="s">
        <v>198</v>
      </c>
    </row>
  </sheetData>
  <sheetProtection/>
  <mergeCells count="22">
    <mergeCell ref="A22:G22"/>
    <mergeCell ref="A23:G23"/>
    <mergeCell ref="A20:G20"/>
    <mergeCell ref="A21:G21"/>
    <mergeCell ref="B3:B4"/>
    <mergeCell ref="C3:C4"/>
    <mergeCell ref="G3:G4"/>
    <mergeCell ref="A1:H1"/>
    <mergeCell ref="A2:H2"/>
    <mergeCell ref="B9:F9"/>
    <mergeCell ref="E3:E4"/>
    <mergeCell ref="F3:F4"/>
    <mergeCell ref="A19:G19"/>
    <mergeCell ref="A4:A5"/>
    <mergeCell ref="I3:J4"/>
    <mergeCell ref="I9:J9"/>
    <mergeCell ref="I10:J10"/>
    <mergeCell ref="D3:D4"/>
    <mergeCell ref="A13:A14"/>
    <mergeCell ref="A18:G18"/>
    <mergeCell ref="A11:F11"/>
    <mergeCell ref="A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5"/>
  <sheetViews>
    <sheetView zoomScalePageLayoutView="0" workbookViewId="0" topLeftCell="A19">
      <selection activeCell="F16" sqref="F16"/>
    </sheetView>
  </sheetViews>
  <sheetFormatPr defaultColWidth="9.140625" defaultRowHeight="12.75"/>
  <cols>
    <col min="1" max="1" width="36.140625" style="71" customWidth="1"/>
    <col min="2" max="2" width="13.8515625" style="71" customWidth="1"/>
    <col min="3" max="3" width="13.7109375" style="71" customWidth="1"/>
    <col min="4" max="4" width="15.421875" style="71" customWidth="1"/>
    <col min="5" max="5" width="18.00390625" style="71" customWidth="1"/>
    <col min="6" max="6" width="13.28125" style="71" customWidth="1"/>
    <col min="7" max="7" width="12.421875" style="71" customWidth="1"/>
    <col min="8" max="8" width="12.7109375" style="71" customWidth="1"/>
    <col min="9" max="9" width="24.57421875" style="71" customWidth="1"/>
    <col min="10" max="10" width="8.7109375" style="71" customWidth="1"/>
    <col min="11" max="16384" width="9.140625" style="71" customWidth="1"/>
  </cols>
  <sheetData>
    <row r="1" spans="1:8" ht="41.25" customHeight="1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10" ht="18.75" customHeight="1">
      <c r="A2" s="221" t="s">
        <v>206</v>
      </c>
      <c r="B2" s="221"/>
      <c r="C2" s="221"/>
      <c r="D2" s="221"/>
      <c r="E2" s="221"/>
      <c r="F2" s="221"/>
      <c r="G2" s="221"/>
      <c r="H2" s="221"/>
      <c r="I2" s="26"/>
      <c r="J2" s="26"/>
    </row>
    <row r="3" spans="1:10" ht="15.75" customHeight="1">
      <c r="A3" s="27"/>
      <c r="B3" s="217" t="s">
        <v>30</v>
      </c>
      <c r="C3" s="222" t="s">
        <v>83</v>
      </c>
      <c r="D3" s="215" t="s">
        <v>82</v>
      </c>
      <c r="E3" s="215" t="s">
        <v>51</v>
      </c>
      <c r="F3" s="215" t="s">
        <v>52</v>
      </c>
      <c r="G3" s="217" t="s">
        <v>53</v>
      </c>
      <c r="I3" s="224"/>
      <c r="J3" s="224"/>
    </row>
    <row r="4" spans="1:10" ht="51" customHeight="1">
      <c r="A4" s="223" t="s">
        <v>152</v>
      </c>
      <c r="B4" s="217"/>
      <c r="C4" s="222"/>
      <c r="D4" s="216"/>
      <c r="E4" s="216"/>
      <c r="F4" s="216"/>
      <c r="G4" s="217"/>
      <c r="I4" s="224"/>
      <c r="J4" s="224"/>
    </row>
    <row r="5" spans="1:10" ht="16.5" customHeight="1">
      <c r="A5" s="223"/>
      <c r="B5" s="28"/>
      <c r="C5" s="28"/>
      <c r="D5" s="28"/>
      <c r="E5" s="28"/>
      <c r="F5" s="28"/>
      <c r="G5" s="28">
        <v>2021</v>
      </c>
      <c r="H5" s="57"/>
      <c r="I5" s="57"/>
      <c r="J5" s="57"/>
    </row>
    <row r="6" spans="1:10" ht="15.75">
      <c r="A6" s="30" t="s">
        <v>21</v>
      </c>
      <c r="B6" s="30"/>
      <c r="C6" s="30"/>
      <c r="D6" s="30"/>
      <c r="E6" s="30"/>
      <c r="F6" s="30"/>
      <c r="G6" s="30" t="s">
        <v>54</v>
      </c>
      <c r="H6" s="58"/>
      <c r="I6" s="58"/>
      <c r="J6" s="58"/>
    </row>
    <row r="7" spans="1:10" ht="15.75">
      <c r="A7" s="27">
        <v>2021</v>
      </c>
      <c r="B7" s="99"/>
      <c r="C7" s="99"/>
      <c r="D7" s="99"/>
      <c r="E7" s="100"/>
      <c r="F7" s="100"/>
      <c r="G7" s="99">
        <v>1016641.2</v>
      </c>
      <c r="H7" s="59"/>
      <c r="I7" s="59"/>
      <c r="J7" s="59"/>
    </row>
    <row r="8" spans="1:10" ht="15.75">
      <c r="A8" s="29" t="s">
        <v>12</v>
      </c>
      <c r="B8" s="101">
        <f aca="true" t="shared" si="0" ref="B8:G8">SUM(B7:B7)</f>
        <v>0</v>
      </c>
      <c r="C8" s="101">
        <f t="shared" si="0"/>
        <v>0</v>
      </c>
      <c r="D8" s="101">
        <f t="shared" si="0"/>
        <v>0</v>
      </c>
      <c r="E8" s="101">
        <f t="shared" si="0"/>
        <v>0</v>
      </c>
      <c r="F8" s="101">
        <f t="shared" si="0"/>
        <v>0</v>
      </c>
      <c r="G8" s="101">
        <f t="shared" si="0"/>
        <v>1016641.2</v>
      </c>
      <c r="H8" s="60"/>
      <c r="I8" s="60"/>
      <c r="J8" s="60"/>
    </row>
    <row r="9" spans="1:11" ht="34.5" customHeight="1">
      <c r="A9" s="29" t="s">
        <v>24</v>
      </c>
      <c r="B9" s="234"/>
      <c r="C9" s="235"/>
      <c r="D9" s="235"/>
      <c r="E9" s="235"/>
      <c r="F9" s="236"/>
      <c r="G9" s="69">
        <f>F7+E7+D7+C7+B7+G7</f>
        <v>1016641.2</v>
      </c>
      <c r="I9" s="225"/>
      <c r="J9" s="226"/>
      <c r="K9" s="72"/>
    </row>
    <row r="10" spans="1:10" ht="31.5">
      <c r="A10" s="29" t="s">
        <v>190</v>
      </c>
      <c r="B10" s="102">
        <f>G9*1.15</f>
        <v>1169137.4</v>
      </c>
      <c r="C10" s="27"/>
      <c r="D10" s="27"/>
      <c r="E10" s="27"/>
      <c r="F10" s="27"/>
      <c r="G10" s="27"/>
      <c r="I10" s="227"/>
      <c r="J10" s="227"/>
    </row>
    <row r="11" spans="1:10" ht="24" customHeight="1">
      <c r="A11" s="228" t="s">
        <v>55</v>
      </c>
      <c r="B11" s="229"/>
      <c r="C11" s="229"/>
      <c r="D11" s="229"/>
      <c r="E11" s="229"/>
      <c r="F11" s="230"/>
      <c r="G11" s="97">
        <v>4003.2</v>
      </c>
      <c r="I11" s="73"/>
      <c r="J11" s="73"/>
    </row>
    <row r="12" spans="1:10" ht="24" customHeight="1">
      <c r="A12" s="231" t="s">
        <v>56</v>
      </c>
      <c r="B12" s="232"/>
      <c r="C12" s="232"/>
      <c r="D12" s="232"/>
      <c r="E12" s="232"/>
      <c r="F12" s="233"/>
      <c r="G12" s="97">
        <f>B10/G11/12</f>
        <v>24.34</v>
      </c>
      <c r="I12" s="73"/>
      <c r="J12" s="73"/>
    </row>
    <row r="13" spans="1:10" ht="58.5" customHeight="1">
      <c r="A13" s="215" t="s">
        <v>57</v>
      </c>
      <c r="B13" s="162" t="s">
        <v>210</v>
      </c>
      <c r="C13" s="162" t="s">
        <v>211</v>
      </c>
      <c r="D13" s="162" t="s">
        <v>212</v>
      </c>
      <c r="E13" s="162" t="s">
        <v>213</v>
      </c>
      <c r="F13" s="162"/>
      <c r="G13" s="162"/>
      <c r="I13" s="73"/>
      <c r="J13" s="73"/>
    </row>
    <row r="14" spans="1:10" ht="21" customHeight="1">
      <c r="A14" s="216"/>
      <c r="B14" s="160">
        <v>48.4</v>
      </c>
      <c r="C14" s="160">
        <v>48.4</v>
      </c>
      <c r="D14" s="160">
        <v>75.8</v>
      </c>
      <c r="E14" s="160">
        <v>48.4</v>
      </c>
      <c r="F14" s="160"/>
      <c r="G14" s="160"/>
      <c r="I14" s="73"/>
      <c r="J14" s="73"/>
    </row>
    <row r="15" spans="1:10" ht="78.75" customHeight="1">
      <c r="A15" s="74" t="s">
        <v>58</v>
      </c>
      <c r="B15" s="163">
        <v>20</v>
      </c>
      <c r="C15" s="28">
        <v>20</v>
      </c>
      <c r="D15" s="28">
        <v>20</v>
      </c>
      <c r="E15" s="28">
        <v>20</v>
      </c>
      <c r="F15" s="27"/>
      <c r="G15" s="27"/>
      <c r="I15" s="73"/>
      <c r="J15" s="73"/>
    </row>
    <row r="16" spans="1:10" ht="52.5" customHeight="1">
      <c r="A16" s="74" t="s">
        <v>59</v>
      </c>
      <c r="B16" s="28">
        <v>10</v>
      </c>
      <c r="C16" s="28">
        <v>10</v>
      </c>
      <c r="D16" s="28">
        <v>10</v>
      </c>
      <c r="E16" s="28">
        <v>10</v>
      </c>
      <c r="F16" s="27"/>
      <c r="G16" s="27"/>
      <c r="I16" s="73"/>
      <c r="J16" s="73"/>
    </row>
    <row r="17" spans="1:10" ht="28.5">
      <c r="A17" s="74" t="s">
        <v>60</v>
      </c>
      <c r="B17" s="178">
        <f>(B14*G12)/(B15+B16)</f>
        <v>39.3</v>
      </c>
      <c r="C17" s="178">
        <f>(C14*G12)/(C15+C16)</f>
        <v>39.3</v>
      </c>
      <c r="D17" s="178">
        <f>(D14*G12)/(D15+D16)</f>
        <v>61.5</v>
      </c>
      <c r="E17" s="178">
        <f>(E14*G12)/(E15+E16)</f>
        <v>39.3</v>
      </c>
      <c r="F17" s="91"/>
      <c r="G17" s="86"/>
      <c r="I17" s="73"/>
      <c r="J17" s="73"/>
    </row>
    <row r="18" spans="1:10" ht="28.5" customHeight="1">
      <c r="A18" s="219" t="s">
        <v>215</v>
      </c>
      <c r="B18" s="220"/>
      <c r="C18" s="220"/>
      <c r="D18" s="220"/>
      <c r="E18" s="220"/>
      <c r="F18" s="220"/>
      <c r="G18" s="220"/>
      <c r="H18" s="98">
        <f>('нагрузка,ФОТ'!G8+'нагрузка,ФОТ'!G9)/9</f>
        <v>6.67</v>
      </c>
      <c r="I18" s="75"/>
      <c r="J18" s="76"/>
    </row>
    <row r="19" spans="1:10" ht="28.5" customHeight="1">
      <c r="A19" s="219" t="s">
        <v>221</v>
      </c>
      <c r="B19" s="220"/>
      <c r="C19" s="220"/>
      <c r="D19" s="220"/>
      <c r="E19" s="220"/>
      <c r="F19" s="220"/>
      <c r="G19" s="220"/>
      <c r="H19" s="98">
        <f>'нагрузка,ФОТ'!G10/9</f>
        <v>6.67</v>
      </c>
      <c r="I19" s="75"/>
      <c r="J19" s="76"/>
    </row>
    <row r="20" spans="1:10" ht="28.5" customHeight="1">
      <c r="A20" s="219" t="s">
        <v>222</v>
      </c>
      <c r="B20" s="220"/>
      <c r="C20" s="220"/>
      <c r="D20" s="220"/>
      <c r="E20" s="220"/>
      <c r="F20" s="220"/>
      <c r="G20" s="220"/>
      <c r="H20" s="98">
        <f>'нагрузка,ФОТ'!G11/9</f>
        <v>3.33</v>
      </c>
      <c r="I20" s="75"/>
      <c r="J20" s="76"/>
    </row>
    <row r="21" spans="1:8" ht="30" customHeight="1">
      <c r="A21" s="218" t="s">
        <v>216</v>
      </c>
      <c r="B21" s="218"/>
      <c r="C21" s="218"/>
      <c r="D21" s="218"/>
      <c r="E21" s="218"/>
      <c r="F21" s="218"/>
      <c r="G21" s="218"/>
      <c r="H21" s="164">
        <f>(B17+C17)/H18</f>
        <v>11.78</v>
      </c>
    </row>
    <row r="22" spans="1:8" ht="30" customHeight="1">
      <c r="A22" s="218" t="s">
        <v>223</v>
      </c>
      <c r="B22" s="218"/>
      <c r="C22" s="218"/>
      <c r="D22" s="218"/>
      <c r="E22" s="218"/>
      <c r="F22" s="218"/>
      <c r="G22" s="218"/>
      <c r="H22" s="164">
        <f>D17/H19</f>
        <v>9.22</v>
      </c>
    </row>
    <row r="23" spans="1:8" ht="30" customHeight="1">
      <c r="A23" s="218" t="s">
        <v>220</v>
      </c>
      <c r="B23" s="218"/>
      <c r="C23" s="218"/>
      <c r="D23" s="218"/>
      <c r="E23" s="218"/>
      <c r="F23" s="218"/>
      <c r="G23" s="218"/>
      <c r="H23" s="164">
        <f>E17/H20</f>
        <v>11.8</v>
      </c>
    </row>
    <row r="25" spans="1:7" s="13" customFormat="1" ht="21" customHeight="1">
      <c r="A25" s="153" t="s">
        <v>197</v>
      </c>
      <c r="B25" s="21"/>
      <c r="G25" s="153" t="s">
        <v>198</v>
      </c>
    </row>
  </sheetData>
  <sheetProtection/>
  <mergeCells count="22">
    <mergeCell ref="A22:G22"/>
    <mergeCell ref="A23:G23"/>
    <mergeCell ref="A20:G20"/>
    <mergeCell ref="A21:G21"/>
    <mergeCell ref="B3:B4"/>
    <mergeCell ref="C3:C4"/>
    <mergeCell ref="G3:G4"/>
    <mergeCell ref="A1:H1"/>
    <mergeCell ref="A2:H2"/>
    <mergeCell ref="B9:F9"/>
    <mergeCell ref="E3:E4"/>
    <mergeCell ref="F3:F4"/>
    <mergeCell ref="A19:G19"/>
    <mergeCell ref="A4:A5"/>
    <mergeCell ref="I3:J4"/>
    <mergeCell ref="I9:J9"/>
    <mergeCell ref="I10:J10"/>
    <mergeCell ref="D3:D4"/>
    <mergeCell ref="A13:A14"/>
    <mergeCell ref="A18:G18"/>
    <mergeCell ref="A11:F11"/>
    <mergeCell ref="A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7"/>
  <sheetViews>
    <sheetView zoomScalePageLayoutView="0" workbookViewId="0" topLeftCell="A19">
      <selection activeCell="F16" sqref="F16"/>
    </sheetView>
  </sheetViews>
  <sheetFormatPr defaultColWidth="9.140625" defaultRowHeight="12.75"/>
  <cols>
    <col min="1" max="1" width="36.140625" style="71" customWidth="1"/>
    <col min="2" max="2" width="13.8515625" style="71" customWidth="1"/>
    <col min="3" max="3" width="13.7109375" style="71" customWidth="1"/>
    <col min="4" max="4" width="15.421875" style="71" customWidth="1"/>
    <col min="5" max="5" width="18.00390625" style="71" customWidth="1"/>
    <col min="6" max="6" width="13.28125" style="71" customWidth="1"/>
    <col min="7" max="7" width="12.421875" style="71" customWidth="1"/>
    <col min="8" max="8" width="12.7109375" style="71" customWidth="1"/>
    <col min="9" max="9" width="24.57421875" style="71" customWidth="1"/>
    <col min="10" max="10" width="8.7109375" style="71" customWidth="1"/>
    <col min="11" max="16384" width="9.140625" style="71" customWidth="1"/>
  </cols>
  <sheetData>
    <row r="1" spans="1:8" ht="41.25" customHeight="1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10" ht="18.75">
      <c r="A2" s="221" t="s">
        <v>206</v>
      </c>
      <c r="B2" s="221"/>
      <c r="C2" s="221"/>
      <c r="D2" s="221"/>
      <c r="E2" s="221"/>
      <c r="F2" s="221"/>
      <c r="G2" s="221"/>
      <c r="H2" s="221"/>
      <c r="I2" s="26"/>
      <c r="J2" s="26"/>
    </row>
    <row r="3" spans="1:10" ht="15.75" customHeight="1">
      <c r="A3" s="27"/>
      <c r="B3" s="217"/>
      <c r="C3" s="222" t="s">
        <v>83</v>
      </c>
      <c r="D3" s="215"/>
      <c r="E3" s="215"/>
      <c r="F3" s="215"/>
      <c r="G3" s="217"/>
      <c r="I3" s="224"/>
      <c r="J3" s="224"/>
    </row>
    <row r="4" spans="1:10" ht="51" customHeight="1">
      <c r="A4" s="223" t="s">
        <v>152</v>
      </c>
      <c r="B4" s="217"/>
      <c r="C4" s="222"/>
      <c r="D4" s="216"/>
      <c r="E4" s="216"/>
      <c r="F4" s="216"/>
      <c r="G4" s="217"/>
      <c r="I4" s="224"/>
      <c r="J4" s="224"/>
    </row>
    <row r="5" spans="1:10" ht="13.5" customHeight="1">
      <c r="A5" s="223"/>
      <c r="B5" s="28"/>
      <c r="C5" s="28">
        <v>2021</v>
      </c>
      <c r="D5" s="28"/>
      <c r="E5" s="28"/>
      <c r="F5" s="28"/>
      <c r="G5" s="28"/>
      <c r="H5" s="57"/>
      <c r="I5" s="57"/>
      <c r="J5" s="57"/>
    </row>
    <row r="6" spans="1:10" ht="15.75">
      <c r="A6" s="30" t="s">
        <v>21</v>
      </c>
      <c r="B6" s="30"/>
      <c r="C6" s="30" t="s">
        <v>54</v>
      </c>
      <c r="D6" s="30"/>
      <c r="E6" s="30"/>
      <c r="F6" s="30"/>
      <c r="G6" s="30"/>
      <c r="H6" s="58"/>
      <c r="I6" s="58"/>
      <c r="J6" s="58"/>
    </row>
    <row r="7" spans="1:10" ht="15.75">
      <c r="A7" s="27">
        <v>2021</v>
      </c>
      <c r="B7" s="99"/>
      <c r="C7" s="99">
        <v>59460.3</v>
      </c>
      <c r="D7" s="99"/>
      <c r="E7" s="100"/>
      <c r="F7" s="100"/>
      <c r="G7" s="99"/>
      <c r="H7" s="59"/>
      <c r="I7" s="59"/>
      <c r="J7" s="59"/>
    </row>
    <row r="8" spans="1:10" ht="15.75">
      <c r="A8" s="29" t="s">
        <v>12</v>
      </c>
      <c r="B8" s="101">
        <f aca="true" t="shared" si="0" ref="B8:G8">SUM(B7:B7)</f>
        <v>0</v>
      </c>
      <c r="C8" s="101">
        <f t="shared" si="0"/>
        <v>59460.3</v>
      </c>
      <c r="D8" s="101">
        <f t="shared" si="0"/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60"/>
      <c r="I8" s="60"/>
      <c r="J8" s="60"/>
    </row>
    <row r="9" spans="1:11" ht="34.5" customHeight="1">
      <c r="A9" s="29" t="s">
        <v>24</v>
      </c>
      <c r="B9" s="234"/>
      <c r="C9" s="235"/>
      <c r="D9" s="235"/>
      <c r="E9" s="235"/>
      <c r="F9" s="236"/>
      <c r="G9" s="69">
        <f>F7+E7+D7+C7+B7+G7</f>
        <v>59460.3</v>
      </c>
      <c r="I9" s="225"/>
      <c r="J9" s="226"/>
      <c r="K9" s="72"/>
    </row>
    <row r="10" spans="1:10" ht="31.5">
      <c r="A10" s="29" t="s">
        <v>190</v>
      </c>
      <c r="B10" s="102">
        <f>G9*1.15</f>
        <v>68379.3</v>
      </c>
      <c r="C10" s="27"/>
      <c r="D10" s="27"/>
      <c r="E10" s="27"/>
      <c r="F10" s="27"/>
      <c r="G10" s="27"/>
      <c r="I10" s="227"/>
      <c r="J10" s="227"/>
    </row>
    <row r="11" spans="1:10" ht="24" customHeight="1">
      <c r="A11" s="228" t="s">
        <v>55</v>
      </c>
      <c r="B11" s="229"/>
      <c r="C11" s="229"/>
      <c r="D11" s="229"/>
      <c r="E11" s="229"/>
      <c r="F11" s="230"/>
      <c r="G11" s="97">
        <v>4003.2</v>
      </c>
      <c r="I11" s="73"/>
      <c r="J11" s="73"/>
    </row>
    <row r="12" spans="1:10" ht="24" customHeight="1">
      <c r="A12" s="231" t="s">
        <v>56</v>
      </c>
      <c r="B12" s="232"/>
      <c r="C12" s="232"/>
      <c r="D12" s="232"/>
      <c r="E12" s="232"/>
      <c r="F12" s="233"/>
      <c r="G12" s="97">
        <f>B10/G11/12</f>
        <v>1.42</v>
      </c>
      <c r="I12" s="73"/>
      <c r="J12" s="73"/>
    </row>
    <row r="13" spans="1:10" ht="58.5" customHeight="1">
      <c r="A13" s="215" t="s">
        <v>57</v>
      </c>
      <c r="B13" s="162" t="s">
        <v>210</v>
      </c>
      <c r="C13" s="162" t="s">
        <v>211</v>
      </c>
      <c r="D13" s="162" t="s">
        <v>212</v>
      </c>
      <c r="E13" s="162" t="s">
        <v>213</v>
      </c>
      <c r="F13" s="162"/>
      <c r="G13" s="162"/>
      <c r="I13" s="73"/>
      <c r="J13" s="73"/>
    </row>
    <row r="14" spans="1:10" ht="21" customHeight="1">
      <c r="A14" s="216"/>
      <c r="B14" s="160">
        <v>48.4</v>
      </c>
      <c r="C14" s="160">
        <v>48.4</v>
      </c>
      <c r="D14" s="160">
        <v>75.8</v>
      </c>
      <c r="E14" s="160">
        <v>48.4</v>
      </c>
      <c r="F14" s="160"/>
      <c r="G14" s="160"/>
      <c r="I14" s="73"/>
      <c r="J14" s="73"/>
    </row>
    <row r="15" spans="1:10" ht="78.75" customHeight="1">
      <c r="A15" s="74" t="s">
        <v>58</v>
      </c>
      <c r="B15" s="163">
        <v>20</v>
      </c>
      <c r="C15" s="28">
        <v>20</v>
      </c>
      <c r="D15" s="28">
        <v>20</v>
      </c>
      <c r="E15" s="28">
        <v>20</v>
      </c>
      <c r="F15" s="27"/>
      <c r="G15" s="27"/>
      <c r="I15" s="73"/>
      <c r="J15" s="73"/>
    </row>
    <row r="16" spans="1:10" ht="52.5" customHeight="1">
      <c r="A16" s="74" t="s">
        <v>59</v>
      </c>
      <c r="B16" s="28">
        <v>10</v>
      </c>
      <c r="C16" s="28">
        <v>10</v>
      </c>
      <c r="D16" s="28">
        <v>10</v>
      </c>
      <c r="E16" s="28">
        <v>10</v>
      </c>
      <c r="F16" s="27"/>
      <c r="G16" s="27"/>
      <c r="I16" s="73"/>
      <c r="J16" s="73"/>
    </row>
    <row r="17" spans="1:10" ht="28.5">
      <c r="A17" s="74" t="s">
        <v>60</v>
      </c>
      <c r="B17" s="178">
        <f>(B14*G12)/(B15+B16)</f>
        <v>2.3</v>
      </c>
      <c r="C17" s="178">
        <f>(C14*G12)/(C15+C16)</f>
        <v>2.3</v>
      </c>
      <c r="D17" s="178">
        <f>(D14*G12)/(D15+D16)</f>
        <v>3.6</v>
      </c>
      <c r="E17" s="178">
        <f>(E14*G12)/(E15+E16)</f>
        <v>2.3</v>
      </c>
      <c r="F17" s="91"/>
      <c r="G17" s="86"/>
      <c r="I17" s="73"/>
      <c r="J17" s="73"/>
    </row>
    <row r="18" spans="1:10" ht="28.5" customHeight="1">
      <c r="A18" s="219" t="s">
        <v>215</v>
      </c>
      <c r="B18" s="220"/>
      <c r="C18" s="220"/>
      <c r="D18" s="220"/>
      <c r="E18" s="220"/>
      <c r="F18" s="220"/>
      <c r="G18" s="220"/>
      <c r="H18" s="98">
        <f>('нагрузка,ФОТ'!G8+'нагрузка,ФОТ'!G9)/9</f>
        <v>6.67</v>
      </c>
      <c r="I18" s="75"/>
      <c r="J18" s="76"/>
    </row>
    <row r="19" spans="1:10" ht="28.5" customHeight="1">
      <c r="A19" s="219" t="s">
        <v>221</v>
      </c>
      <c r="B19" s="220"/>
      <c r="C19" s="220"/>
      <c r="D19" s="220"/>
      <c r="E19" s="220"/>
      <c r="F19" s="220"/>
      <c r="G19" s="220"/>
      <c r="H19" s="98">
        <f>'нагрузка,ФОТ'!G10/9</f>
        <v>6.67</v>
      </c>
      <c r="I19" s="75"/>
      <c r="J19" s="76"/>
    </row>
    <row r="20" spans="1:10" ht="28.5" customHeight="1">
      <c r="A20" s="219" t="s">
        <v>222</v>
      </c>
      <c r="B20" s="220"/>
      <c r="C20" s="220"/>
      <c r="D20" s="220"/>
      <c r="E20" s="220"/>
      <c r="F20" s="220"/>
      <c r="G20" s="220"/>
      <c r="H20" s="98">
        <f>'нагрузка,ФОТ'!G11/9</f>
        <v>3.33</v>
      </c>
      <c r="I20" s="75"/>
      <c r="J20" s="76"/>
    </row>
    <row r="21" spans="1:8" ht="30" customHeight="1">
      <c r="A21" s="218" t="s">
        <v>216</v>
      </c>
      <c r="B21" s="218"/>
      <c r="C21" s="218"/>
      <c r="D21" s="218"/>
      <c r="E21" s="218"/>
      <c r="F21" s="218"/>
      <c r="G21" s="218"/>
      <c r="H21" s="164">
        <f>(B17+C17)/H18</f>
        <v>0.69</v>
      </c>
    </row>
    <row r="22" spans="1:8" ht="30" customHeight="1">
      <c r="A22" s="218" t="s">
        <v>223</v>
      </c>
      <c r="B22" s="218"/>
      <c r="C22" s="218"/>
      <c r="D22" s="218"/>
      <c r="E22" s="218"/>
      <c r="F22" s="218"/>
      <c r="G22" s="218"/>
      <c r="H22" s="164">
        <f>D17/H19</f>
        <v>0.54</v>
      </c>
    </row>
    <row r="23" spans="1:8" ht="30" customHeight="1">
      <c r="A23" s="218" t="s">
        <v>220</v>
      </c>
      <c r="B23" s="218"/>
      <c r="C23" s="218"/>
      <c r="D23" s="218"/>
      <c r="E23" s="218"/>
      <c r="F23" s="218"/>
      <c r="G23" s="218"/>
      <c r="H23" s="164">
        <f>E17/H20</f>
        <v>0.69</v>
      </c>
    </row>
    <row r="25" spans="1:7" s="13" customFormat="1" ht="21" customHeight="1">
      <c r="A25" s="153" t="s">
        <v>197</v>
      </c>
      <c r="B25" s="21"/>
      <c r="G25" s="153" t="s">
        <v>198</v>
      </c>
    </row>
    <row r="26" s="13" customFormat="1" ht="18.75" customHeight="1">
      <c r="B26" s="21"/>
    </row>
    <row r="27" s="13" customFormat="1" ht="14.25" customHeight="1">
      <c r="B27" s="21"/>
    </row>
  </sheetData>
  <sheetProtection/>
  <mergeCells count="22">
    <mergeCell ref="A1:H1"/>
    <mergeCell ref="A2:H2"/>
    <mergeCell ref="A19:G19"/>
    <mergeCell ref="A13:A14"/>
    <mergeCell ref="A12:F12"/>
    <mergeCell ref="E3:E4"/>
    <mergeCell ref="A18:G18"/>
    <mergeCell ref="B3:B4"/>
    <mergeCell ref="C3:C4"/>
    <mergeCell ref="D3:D4"/>
    <mergeCell ref="A22:G22"/>
    <mergeCell ref="A23:G23"/>
    <mergeCell ref="A20:G20"/>
    <mergeCell ref="A21:G21"/>
    <mergeCell ref="I10:J10"/>
    <mergeCell ref="A11:F11"/>
    <mergeCell ref="B9:F9"/>
    <mergeCell ref="I9:J9"/>
    <mergeCell ref="I3:J4"/>
    <mergeCell ref="A4:A5"/>
    <mergeCell ref="G3:G4"/>
    <mergeCell ref="F3:F4"/>
  </mergeCells>
  <printOptions/>
  <pageMargins left="0.7480314960629921" right="0.31496062992125984" top="0.7874015748031497" bottom="0.35433070866141736" header="0.5118110236220472" footer="0.35433070866141736"/>
  <pageSetup fitToHeight="1" fitToWidth="1" horizontalDpi="600" verticalDpi="600" orientation="landscape" paperSize="9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49"/>
  <sheetViews>
    <sheetView zoomScalePageLayoutView="0" workbookViewId="0" topLeftCell="A127">
      <selection activeCell="I137" sqref="I137"/>
    </sheetView>
  </sheetViews>
  <sheetFormatPr defaultColWidth="9.140625" defaultRowHeight="12.75"/>
  <cols>
    <col min="1" max="1" width="4.28125" style="103" customWidth="1"/>
    <col min="2" max="5" width="9.140625" style="103" customWidth="1"/>
    <col min="6" max="6" width="10.28125" style="103" customWidth="1"/>
    <col min="7" max="7" width="9.28125" style="103" bestFit="1" customWidth="1"/>
    <col min="8" max="8" width="9.140625" style="103" customWidth="1"/>
    <col min="9" max="9" width="9.57421875" style="103" bestFit="1" customWidth="1"/>
    <col min="10" max="10" width="11.7109375" style="103" customWidth="1"/>
    <col min="11" max="16384" width="9.140625" style="103" customWidth="1"/>
  </cols>
  <sheetData>
    <row r="1" spans="1:12" ht="18.75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33" customHeight="1">
      <c r="A2" s="197" t="s">
        <v>154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21.75" customHeight="1">
      <c r="A3" s="197" t="s">
        <v>203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s="104" customFormat="1" ht="15.75">
      <c r="A4" s="255" t="s">
        <v>155</v>
      </c>
      <c r="B4" s="255"/>
      <c r="C4" s="255"/>
      <c r="D4" s="255"/>
      <c r="E4" s="256" t="str">
        <f>'Комплектование групп'!B7</f>
        <v>Кружок «Предшкольная подготовка»</v>
      </c>
      <c r="F4" s="256"/>
      <c r="G4" s="256"/>
      <c r="H4" s="256"/>
      <c r="I4" s="256"/>
      <c r="J4" s="256"/>
      <c r="K4" s="103"/>
      <c r="L4" s="103"/>
    </row>
    <row r="5" spans="1:12" s="104" customFormat="1" ht="31.5">
      <c r="A5" s="165" t="s">
        <v>2</v>
      </c>
      <c r="B5" s="257" t="s">
        <v>166</v>
      </c>
      <c r="C5" s="258"/>
      <c r="D5" s="258"/>
      <c r="E5" s="258"/>
      <c r="F5" s="259"/>
      <c r="G5" s="165" t="s">
        <v>167</v>
      </c>
      <c r="H5" s="165" t="s">
        <v>168</v>
      </c>
      <c r="I5" s="165" t="s">
        <v>169</v>
      </c>
      <c r="J5" s="165" t="s">
        <v>170</v>
      </c>
      <c r="K5" s="194"/>
      <c r="L5" s="194"/>
    </row>
    <row r="6" spans="1:12" ht="18.75" customHeight="1">
      <c r="A6" s="183">
        <v>1</v>
      </c>
      <c r="B6" s="246" t="s">
        <v>224</v>
      </c>
      <c r="C6" s="247"/>
      <c r="D6" s="247"/>
      <c r="E6" s="247"/>
      <c r="F6" s="248"/>
      <c r="G6" s="165">
        <v>6</v>
      </c>
      <c r="H6" s="165" t="s">
        <v>225</v>
      </c>
      <c r="I6" s="166">
        <v>460</v>
      </c>
      <c r="J6" s="166">
        <f>G6*I6</f>
        <v>2760</v>
      </c>
      <c r="K6" s="194"/>
      <c r="L6" s="194"/>
    </row>
    <row r="7" spans="1:12" ht="15.75" customHeight="1">
      <c r="A7" s="183">
        <v>2</v>
      </c>
      <c r="B7" s="246" t="s">
        <v>226</v>
      </c>
      <c r="C7" s="247"/>
      <c r="D7" s="247"/>
      <c r="E7" s="247"/>
      <c r="F7" s="248"/>
      <c r="G7" s="165">
        <v>25</v>
      </c>
      <c r="H7" s="165" t="s">
        <v>225</v>
      </c>
      <c r="I7" s="166">
        <v>180</v>
      </c>
      <c r="J7" s="166">
        <f aca="true" t="shared" si="0" ref="J7:J20">G7*I7</f>
        <v>4500</v>
      </c>
      <c r="K7" s="194"/>
      <c r="L7" s="194"/>
    </row>
    <row r="8" spans="1:12" ht="16.5" customHeight="1">
      <c r="A8" s="183">
        <v>3</v>
      </c>
      <c r="B8" s="246" t="s">
        <v>247</v>
      </c>
      <c r="C8" s="247"/>
      <c r="D8" s="247"/>
      <c r="E8" s="247"/>
      <c r="F8" s="248"/>
      <c r="G8" s="165">
        <v>25</v>
      </c>
      <c r="H8" s="165" t="s">
        <v>225</v>
      </c>
      <c r="I8" s="166">
        <v>100</v>
      </c>
      <c r="J8" s="166">
        <f t="shared" si="0"/>
        <v>2500</v>
      </c>
      <c r="K8" s="194"/>
      <c r="L8" s="194"/>
    </row>
    <row r="9" spans="1:10" ht="15.75" customHeight="1">
      <c r="A9" s="183">
        <v>4</v>
      </c>
      <c r="B9" s="246" t="s">
        <v>228</v>
      </c>
      <c r="C9" s="247"/>
      <c r="D9" s="247"/>
      <c r="E9" s="247"/>
      <c r="F9" s="248"/>
      <c r="G9" s="165">
        <v>10</v>
      </c>
      <c r="H9" s="165" t="s">
        <v>227</v>
      </c>
      <c r="I9" s="166">
        <v>70</v>
      </c>
      <c r="J9" s="166">
        <f t="shared" si="0"/>
        <v>700</v>
      </c>
    </row>
    <row r="10" spans="1:10" ht="18" customHeight="1">
      <c r="A10" s="183">
        <v>5</v>
      </c>
      <c r="B10" s="246" t="s">
        <v>229</v>
      </c>
      <c r="C10" s="247"/>
      <c r="D10" s="247"/>
      <c r="E10" s="247"/>
      <c r="F10" s="248"/>
      <c r="G10" s="165">
        <v>3</v>
      </c>
      <c r="H10" s="165" t="s">
        <v>230</v>
      </c>
      <c r="I10" s="166">
        <v>850</v>
      </c>
      <c r="J10" s="166">
        <f t="shared" si="0"/>
        <v>2550</v>
      </c>
    </row>
    <row r="11" spans="1:10" ht="19.5" customHeight="1">
      <c r="A11" s="183">
        <v>6</v>
      </c>
      <c r="B11" s="246" t="s">
        <v>231</v>
      </c>
      <c r="C11" s="247"/>
      <c r="D11" s="247"/>
      <c r="E11" s="247"/>
      <c r="F11" s="248"/>
      <c r="G11" s="165">
        <v>13</v>
      </c>
      <c r="H11" s="165" t="s">
        <v>227</v>
      </c>
      <c r="I11" s="166">
        <v>150</v>
      </c>
      <c r="J11" s="166">
        <f t="shared" si="0"/>
        <v>1950</v>
      </c>
    </row>
    <row r="12" spans="1:10" ht="19.5" customHeight="1">
      <c r="A12" s="183">
        <v>7</v>
      </c>
      <c r="B12" s="246" t="s">
        <v>232</v>
      </c>
      <c r="C12" s="247"/>
      <c r="D12" s="247"/>
      <c r="E12" s="247"/>
      <c r="F12" s="248"/>
      <c r="G12" s="165">
        <v>25</v>
      </c>
      <c r="H12" s="165" t="s">
        <v>227</v>
      </c>
      <c r="I12" s="166">
        <v>100</v>
      </c>
      <c r="J12" s="166">
        <f t="shared" si="0"/>
        <v>2500</v>
      </c>
    </row>
    <row r="13" spans="1:10" ht="15" customHeight="1">
      <c r="A13" s="183">
        <v>8</v>
      </c>
      <c r="B13" s="246" t="s">
        <v>233</v>
      </c>
      <c r="C13" s="247"/>
      <c r="D13" s="247"/>
      <c r="E13" s="247"/>
      <c r="F13" s="248"/>
      <c r="G13" s="165">
        <v>25</v>
      </c>
      <c r="H13" s="165" t="s">
        <v>227</v>
      </c>
      <c r="I13" s="166">
        <v>50</v>
      </c>
      <c r="J13" s="166">
        <f t="shared" si="0"/>
        <v>1250</v>
      </c>
    </row>
    <row r="14" spans="1:10" s="105" customFormat="1" ht="15" customHeight="1">
      <c r="A14" s="183">
        <v>9</v>
      </c>
      <c r="B14" s="246" t="s">
        <v>234</v>
      </c>
      <c r="C14" s="247"/>
      <c r="D14" s="247"/>
      <c r="E14" s="247"/>
      <c r="F14" s="248"/>
      <c r="G14" s="165">
        <v>4</v>
      </c>
      <c r="H14" s="165" t="s">
        <v>227</v>
      </c>
      <c r="I14" s="166">
        <v>180</v>
      </c>
      <c r="J14" s="166">
        <f t="shared" si="0"/>
        <v>720</v>
      </c>
    </row>
    <row r="15" spans="1:10" s="105" customFormat="1" ht="15.75" customHeight="1">
      <c r="A15" s="183">
        <v>10</v>
      </c>
      <c r="B15" s="246" t="s">
        <v>235</v>
      </c>
      <c r="C15" s="247"/>
      <c r="D15" s="247"/>
      <c r="E15" s="247"/>
      <c r="F15" s="248"/>
      <c r="G15" s="165">
        <v>4</v>
      </c>
      <c r="H15" s="165" t="s">
        <v>227</v>
      </c>
      <c r="I15" s="166">
        <v>230</v>
      </c>
      <c r="J15" s="166">
        <f t="shared" si="0"/>
        <v>920</v>
      </c>
    </row>
    <row r="16" spans="1:10" s="105" customFormat="1" ht="15.75" customHeight="1">
      <c r="A16" s="183">
        <v>11</v>
      </c>
      <c r="B16" s="246" t="s">
        <v>236</v>
      </c>
      <c r="C16" s="247"/>
      <c r="D16" s="247"/>
      <c r="E16" s="247"/>
      <c r="F16" s="248"/>
      <c r="G16" s="165">
        <v>50</v>
      </c>
      <c r="H16" s="165" t="s">
        <v>227</v>
      </c>
      <c r="I16" s="166">
        <v>15</v>
      </c>
      <c r="J16" s="166">
        <f t="shared" si="0"/>
        <v>750</v>
      </c>
    </row>
    <row r="17" spans="1:10" ht="15.75" customHeight="1">
      <c r="A17" s="183">
        <v>12</v>
      </c>
      <c r="B17" s="246" t="s">
        <v>237</v>
      </c>
      <c r="C17" s="247"/>
      <c r="D17" s="247"/>
      <c r="E17" s="247"/>
      <c r="F17" s="248"/>
      <c r="G17" s="165">
        <v>4</v>
      </c>
      <c r="H17" s="165" t="s">
        <v>238</v>
      </c>
      <c r="I17" s="166">
        <v>80</v>
      </c>
      <c r="J17" s="166">
        <f t="shared" si="0"/>
        <v>320</v>
      </c>
    </row>
    <row r="18" spans="1:10" ht="15" customHeight="1">
      <c r="A18" s="183">
        <v>13</v>
      </c>
      <c r="B18" s="246" t="s">
        <v>239</v>
      </c>
      <c r="C18" s="247"/>
      <c r="D18" s="247"/>
      <c r="E18" s="247"/>
      <c r="F18" s="248"/>
      <c r="G18" s="165">
        <v>4</v>
      </c>
      <c r="H18" s="165" t="s">
        <v>238</v>
      </c>
      <c r="I18" s="166">
        <v>280</v>
      </c>
      <c r="J18" s="166">
        <f t="shared" si="0"/>
        <v>1120</v>
      </c>
    </row>
    <row r="19" spans="1:10" ht="15.75">
      <c r="A19" s="183">
        <v>14</v>
      </c>
      <c r="B19" s="246" t="s">
        <v>240</v>
      </c>
      <c r="C19" s="247"/>
      <c r="D19" s="247"/>
      <c r="E19" s="247"/>
      <c r="F19" s="248"/>
      <c r="G19" s="165">
        <v>8</v>
      </c>
      <c r="H19" s="165" t="s">
        <v>238</v>
      </c>
      <c r="I19" s="166">
        <v>50</v>
      </c>
      <c r="J19" s="166">
        <f>G19*I19</f>
        <v>400</v>
      </c>
    </row>
    <row r="20" spans="1:10" ht="15.75">
      <c r="A20" s="183">
        <v>15</v>
      </c>
      <c r="B20" s="246" t="s">
        <v>141</v>
      </c>
      <c r="C20" s="247"/>
      <c r="D20" s="247"/>
      <c r="E20" s="247"/>
      <c r="F20" s="248"/>
      <c r="G20" s="165">
        <v>16</v>
      </c>
      <c r="H20" s="165" t="s">
        <v>238</v>
      </c>
      <c r="I20" s="166">
        <v>950</v>
      </c>
      <c r="J20" s="166">
        <f t="shared" si="0"/>
        <v>15200</v>
      </c>
    </row>
    <row r="21" spans="1:10" ht="15.75">
      <c r="A21" s="243" t="s">
        <v>122</v>
      </c>
      <c r="B21" s="244"/>
      <c r="C21" s="244"/>
      <c r="D21" s="244"/>
      <c r="E21" s="244"/>
      <c r="F21" s="245"/>
      <c r="G21" s="167">
        <f>SUM(G6:G20)</f>
        <v>222</v>
      </c>
      <c r="H21" s="106"/>
      <c r="I21" s="107" t="s">
        <v>108</v>
      </c>
      <c r="J21" s="167">
        <f>SUM(J6:J20)</f>
        <v>38140</v>
      </c>
    </row>
    <row r="22" spans="1:12" ht="15.75">
      <c r="A22" s="108"/>
      <c r="B22" s="109"/>
      <c r="C22" s="109"/>
      <c r="D22" s="109"/>
      <c r="E22" s="109"/>
      <c r="F22" s="109"/>
      <c r="G22" s="108"/>
      <c r="H22" s="110"/>
      <c r="I22" s="153"/>
      <c r="J22" s="154"/>
      <c r="K22" s="153"/>
      <c r="L22" s="153"/>
    </row>
    <row r="23" spans="1:12" ht="15.75">
      <c r="A23" s="108"/>
      <c r="B23" s="109"/>
      <c r="C23" s="109"/>
      <c r="D23" s="109"/>
      <c r="E23" s="109"/>
      <c r="F23" s="109"/>
      <c r="G23" s="108"/>
      <c r="H23" s="110"/>
      <c r="I23" s="153"/>
      <c r="J23" s="154"/>
      <c r="K23" s="153"/>
      <c r="L23" s="153"/>
    </row>
    <row r="24" spans="1:12" ht="15.75">
      <c r="A24" s="108"/>
      <c r="B24" s="109"/>
      <c r="C24" s="109"/>
      <c r="D24" s="109"/>
      <c r="E24" s="109"/>
      <c r="F24" s="109"/>
      <c r="G24" s="108"/>
      <c r="H24" s="110"/>
      <c r="I24" s="153"/>
      <c r="J24" s="154"/>
      <c r="K24" s="153"/>
      <c r="L24" s="153"/>
    </row>
    <row r="25" spans="1:12" ht="15.75">
      <c r="A25" s="153" t="s">
        <v>197</v>
      </c>
      <c r="B25" s="21"/>
      <c r="C25" s="13"/>
      <c r="D25" s="13"/>
      <c r="I25" s="153" t="s">
        <v>198</v>
      </c>
      <c r="K25" s="65"/>
      <c r="L25" s="65"/>
    </row>
    <row r="26" spans="1:12" ht="15.75">
      <c r="A26" s="108"/>
      <c r="B26" s="109"/>
      <c r="C26" s="109"/>
      <c r="D26" s="109"/>
      <c r="E26" s="109"/>
      <c r="F26" s="109"/>
      <c r="G26" s="13"/>
      <c r="H26" s="20"/>
      <c r="I26" s="13"/>
      <c r="J26" s="13"/>
      <c r="K26" s="105"/>
      <c r="L26" s="105"/>
    </row>
    <row r="27" spans="1:12" ht="18.75">
      <c r="A27" s="196" t="s">
        <v>153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2" ht="39.75" customHeight="1">
      <c r="A28" s="197" t="s">
        <v>154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  <row r="29" spans="1:12" ht="15.75" customHeight="1">
      <c r="A29" s="197" t="s">
        <v>203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1:10" ht="24" customHeight="1">
      <c r="A30" s="255" t="s">
        <v>155</v>
      </c>
      <c r="B30" s="255"/>
      <c r="C30" s="255"/>
      <c r="D30" s="255"/>
      <c r="E30" s="256" t="str">
        <f>'Комплектование групп'!B8</f>
        <v>Кружок "Испанский язык."</v>
      </c>
      <c r="F30" s="256"/>
      <c r="G30" s="256"/>
      <c r="H30" s="256"/>
      <c r="I30" s="256"/>
      <c r="J30" s="256"/>
    </row>
    <row r="31" spans="1:10" ht="37.5" customHeight="1">
      <c r="A31" s="172" t="s">
        <v>2</v>
      </c>
      <c r="B31" s="250" t="s">
        <v>166</v>
      </c>
      <c r="C31" s="251"/>
      <c r="D31" s="251"/>
      <c r="E31" s="251"/>
      <c r="F31" s="252"/>
      <c r="G31" s="172" t="s">
        <v>167</v>
      </c>
      <c r="H31" s="172" t="s">
        <v>168</v>
      </c>
      <c r="I31" s="172" t="s">
        <v>169</v>
      </c>
      <c r="J31" s="172" t="s">
        <v>170</v>
      </c>
    </row>
    <row r="32" spans="1:10" ht="15.75" customHeight="1">
      <c r="A32" s="183">
        <v>1</v>
      </c>
      <c r="B32" s="246" t="s">
        <v>193</v>
      </c>
      <c r="C32" s="247"/>
      <c r="D32" s="247"/>
      <c r="E32" s="247"/>
      <c r="F32" s="248"/>
      <c r="G32" s="165">
        <v>10</v>
      </c>
      <c r="H32" s="165" t="s">
        <v>86</v>
      </c>
      <c r="I32" s="166">
        <v>180</v>
      </c>
      <c r="J32" s="166">
        <f aca="true" t="shared" si="1" ref="J32:J52">G32*I32</f>
        <v>1800</v>
      </c>
    </row>
    <row r="33" spans="1:10" ht="31.5" customHeight="1">
      <c r="A33" s="183">
        <v>2</v>
      </c>
      <c r="B33" s="246" t="s">
        <v>135</v>
      </c>
      <c r="C33" s="247"/>
      <c r="D33" s="247"/>
      <c r="E33" s="247"/>
      <c r="F33" s="248"/>
      <c r="G33" s="165">
        <v>10</v>
      </c>
      <c r="H33" s="165" t="s">
        <v>86</v>
      </c>
      <c r="I33" s="166">
        <v>460</v>
      </c>
      <c r="J33" s="166">
        <f t="shared" si="1"/>
        <v>4600</v>
      </c>
    </row>
    <row r="34" spans="1:10" ht="15.75" customHeight="1">
      <c r="A34" s="183">
        <v>3</v>
      </c>
      <c r="B34" s="246" t="s">
        <v>248</v>
      </c>
      <c r="C34" s="247"/>
      <c r="D34" s="247"/>
      <c r="E34" s="247"/>
      <c r="F34" s="248"/>
      <c r="G34" s="165">
        <v>10</v>
      </c>
      <c r="H34" s="165" t="s">
        <v>86</v>
      </c>
      <c r="I34" s="166">
        <v>100</v>
      </c>
      <c r="J34" s="166">
        <f t="shared" si="1"/>
        <v>1000</v>
      </c>
    </row>
    <row r="35" spans="1:10" ht="15" customHeight="1">
      <c r="A35" s="183">
        <v>4</v>
      </c>
      <c r="B35" s="246" t="s">
        <v>136</v>
      </c>
      <c r="C35" s="247"/>
      <c r="D35" s="247"/>
      <c r="E35" s="247"/>
      <c r="F35" s="248"/>
      <c r="G35" s="165">
        <v>20</v>
      </c>
      <c r="H35" s="165" t="s">
        <v>86</v>
      </c>
      <c r="I35" s="166">
        <v>15</v>
      </c>
      <c r="J35" s="166">
        <f t="shared" si="1"/>
        <v>300</v>
      </c>
    </row>
    <row r="36" spans="1:12" ht="15.75" customHeight="1">
      <c r="A36" s="183">
        <v>5</v>
      </c>
      <c r="B36" s="246" t="s">
        <v>137</v>
      </c>
      <c r="C36" s="247"/>
      <c r="D36" s="247"/>
      <c r="E36" s="247"/>
      <c r="F36" s="248"/>
      <c r="G36" s="165">
        <v>10</v>
      </c>
      <c r="H36" s="165" t="s">
        <v>138</v>
      </c>
      <c r="I36" s="166">
        <v>50</v>
      </c>
      <c r="J36" s="166">
        <f t="shared" si="1"/>
        <v>500</v>
      </c>
      <c r="K36" s="105"/>
      <c r="L36" s="105"/>
    </row>
    <row r="37" spans="1:12" ht="15.75" customHeight="1">
      <c r="A37" s="183">
        <v>6</v>
      </c>
      <c r="B37" s="246" t="s">
        <v>139</v>
      </c>
      <c r="C37" s="247"/>
      <c r="D37" s="247"/>
      <c r="E37" s="247"/>
      <c r="F37" s="248"/>
      <c r="G37" s="165">
        <v>10</v>
      </c>
      <c r="H37" s="165" t="s">
        <v>86</v>
      </c>
      <c r="I37" s="166">
        <v>100</v>
      </c>
      <c r="J37" s="166">
        <f t="shared" si="1"/>
        <v>1000</v>
      </c>
      <c r="K37" s="105"/>
      <c r="L37" s="105"/>
    </row>
    <row r="38" spans="1:10" ht="15.75" customHeight="1">
      <c r="A38" s="183">
        <v>7</v>
      </c>
      <c r="B38" s="246" t="s">
        <v>149</v>
      </c>
      <c r="C38" s="247"/>
      <c r="D38" s="247"/>
      <c r="E38" s="247"/>
      <c r="F38" s="248"/>
      <c r="G38" s="165">
        <v>2</v>
      </c>
      <c r="H38" s="165" t="s">
        <v>86</v>
      </c>
      <c r="I38" s="166">
        <v>500</v>
      </c>
      <c r="J38" s="166">
        <f t="shared" si="1"/>
        <v>1000</v>
      </c>
    </row>
    <row r="39" spans="1:10" ht="15.75" customHeight="1">
      <c r="A39" s="183">
        <v>8</v>
      </c>
      <c r="B39" s="246" t="s">
        <v>246</v>
      </c>
      <c r="C39" s="247"/>
      <c r="D39" s="247"/>
      <c r="E39" s="247"/>
      <c r="F39" s="248"/>
      <c r="G39" s="165">
        <v>2</v>
      </c>
      <c r="H39" s="165" t="s">
        <v>86</v>
      </c>
      <c r="I39" s="166">
        <v>1800</v>
      </c>
      <c r="J39" s="166">
        <f t="shared" si="1"/>
        <v>3600</v>
      </c>
    </row>
    <row r="40" spans="1:12" ht="15.75" customHeight="1">
      <c r="A40" s="183">
        <v>9</v>
      </c>
      <c r="B40" s="237" t="s">
        <v>140</v>
      </c>
      <c r="C40" s="238"/>
      <c r="D40" s="238"/>
      <c r="E40" s="238"/>
      <c r="F40" s="239"/>
      <c r="G40" s="165">
        <v>10</v>
      </c>
      <c r="H40" s="165" t="s">
        <v>86</v>
      </c>
      <c r="I40" s="166">
        <v>50</v>
      </c>
      <c r="J40" s="166">
        <f t="shared" si="1"/>
        <v>500</v>
      </c>
      <c r="K40" s="105"/>
      <c r="L40" s="105"/>
    </row>
    <row r="41" spans="1:12" ht="15.75">
      <c r="A41" s="183">
        <v>10</v>
      </c>
      <c r="B41" s="237" t="s">
        <v>141</v>
      </c>
      <c r="C41" s="238"/>
      <c r="D41" s="238"/>
      <c r="E41" s="238"/>
      <c r="F41" s="239"/>
      <c r="G41" s="165">
        <v>10</v>
      </c>
      <c r="H41" s="165" t="s">
        <v>86</v>
      </c>
      <c r="I41" s="166">
        <v>1200</v>
      </c>
      <c r="J41" s="166">
        <f t="shared" si="1"/>
        <v>12000</v>
      </c>
      <c r="K41" s="105"/>
      <c r="L41" s="105"/>
    </row>
    <row r="42" spans="1:10" ht="15.75">
      <c r="A42" s="183">
        <v>11</v>
      </c>
      <c r="B42" s="240" t="s">
        <v>142</v>
      </c>
      <c r="C42" s="241"/>
      <c r="D42" s="241"/>
      <c r="E42" s="241"/>
      <c r="F42" s="242"/>
      <c r="G42" s="165">
        <v>6</v>
      </c>
      <c r="H42" s="165" t="s">
        <v>86</v>
      </c>
      <c r="I42" s="166">
        <v>420</v>
      </c>
      <c r="J42" s="166">
        <f t="shared" si="1"/>
        <v>2520</v>
      </c>
    </row>
    <row r="43" spans="1:12" ht="15.75">
      <c r="A43" s="183">
        <v>12</v>
      </c>
      <c r="B43" s="237" t="s">
        <v>143</v>
      </c>
      <c r="C43" s="238"/>
      <c r="D43" s="238"/>
      <c r="E43" s="238"/>
      <c r="F43" s="239"/>
      <c r="G43" s="165">
        <v>5</v>
      </c>
      <c r="H43" s="165" t="s">
        <v>144</v>
      </c>
      <c r="I43" s="166">
        <v>280</v>
      </c>
      <c r="J43" s="166">
        <f t="shared" si="1"/>
        <v>1400</v>
      </c>
      <c r="K43" s="105"/>
      <c r="L43" s="105"/>
    </row>
    <row r="44" spans="1:12" ht="15.75">
      <c r="A44" s="183">
        <v>13</v>
      </c>
      <c r="B44" s="240" t="s">
        <v>145</v>
      </c>
      <c r="C44" s="241"/>
      <c r="D44" s="241"/>
      <c r="E44" s="241"/>
      <c r="F44" s="242"/>
      <c r="G44" s="165">
        <v>5</v>
      </c>
      <c r="H44" s="165" t="s">
        <v>86</v>
      </c>
      <c r="I44" s="166">
        <v>540</v>
      </c>
      <c r="J44" s="166">
        <f t="shared" si="1"/>
        <v>2700</v>
      </c>
      <c r="K44" s="105"/>
      <c r="L44" s="105"/>
    </row>
    <row r="45" spans="1:12" ht="15.75">
      <c r="A45" s="183">
        <v>14</v>
      </c>
      <c r="B45" s="240" t="s">
        <v>187</v>
      </c>
      <c r="C45" s="241"/>
      <c r="D45" s="241"/>
      <c r="E45" s="241"/>
      <c r="F45" s="242"/>
      <c r="G45" s="165">
        <v>10</v>
      </c>
      <c r="H45" s="165" t="s">
        <v>86</v>
      </c>
      <c r="I45" s="166">
        <v>100</v>
      </c>
      <c r="J45" s="166">
        <f t="shared" si="1"/>
        <v>1000</v>
      </c>
      <c r="K45" s="105"/>
      <c r="L45" s="105"/>
    </row>
    <row r="46" spans="1:12" ht="15.75">
      <c r="A46" s="183">
        <v>15</v>
      </c>
      <c r="B46" s="240" t="s">
        <v>146</v>
      </c>
      <c r="C46" s="241"/>
      <c r="D46" s="241"/>
      <c r="E46" s="241"/>
      <c r="F46" s="242"/>
      <c r="G46" s="165">
        <v>5</v>
      </c>
      <c r="H46" s="165" t="s">
        <v>86</v>
      </c>
      <c r="I46" s="166">
        <v>150</v>
      </c>
      <c r="J46" s="166">
        <f t="shared" si="1"/>
        <v>750</v>
      </c>
      <c r="K46" s="105"/>
      <c r="L46" s="105"/>
    </row>
    <row r="47" spans="1:12" ht="15.75">
      <c r="A47" s="183">
        <v>16</v>
      </c>
      <c r="B47" s="240" t="s">
        <v>147</v>
      </c>
      <c r="C47" s="241"/>
      <c r="D47" s="241"/>
      <c r="E47" s="241"/>
      <c r="F47" s="242"/>
      <c r="G47" s="165">
        <v>10</v>
      </c>
      <c r="H47" s="165" t="s">
        <v>86</v>
      </c>
      <c r="I47" s="166">
        <v>50</v>
      </c>
      <c r="J47" s="166">
        <f t="shared" si="1"/>
        <v>500</v>
      </c>
      <c r="K47" s="105"/>
      <c r="L47" s="105"/>
    </row>
    <row r="48" spans="1:10" ht="15.75">
      <c r="A48" s="183">
        <v>17</v>
      </c>
      <c r="B48" s="184" t="s">
        <v>148</v>
      </c>
      <c r="C48" s="185"/>
      <c r="D48" s="185"/>
      <c r="E48" s="185"/>
      <c r="F48" s="186"/>
      <c r="G48" s="165">
        <v>10</v>
      </c>
      <c r="H48" s="165" t="s">
        <v>86</v>
      </c>
      <c r="I48" s="166">
        <v>60</v>
      </c>
      <c r="J48" s="166">
        <f t="shared" si="1"/>
        <v>600</v>
      </c>
    </row>
    <row r="49" spans="1:10" ht="15.75">
      <c r="A49" s="183">
        <v>18</v>
      </c>
      <c r="B49" s="184" t="s">
        <v>188</v>
      </c>
      <c r="C49" s="185"/>
      <c r="D49" s="185"/>
      <c r="E49" s="185"/>
      <c r="F49" s="186"/>
      <c r="G49" s="165">
        <v>5</v>
      </c>
      <c r="H49" s="165" t="s">
        <v>86</v>
      </c>
      <c r="I49" s="166">
        <v>180</v>
      </c>
      <c r="J49" s="166">
        <f t="shared" si="1"/>
        <v>900</v>
      </c>
    </row>
    <row r="50" spans="1:12" ht="15.75">
      <c r="A50" s="183">
        <v>19</v>
      </c>
      <c r="B50" s="184" t="s">
        <v>165</v>
      </c>
      <c r="C50" s="185"/>
      <c r="D50" s="185"/>
      <c r="E50" s="185"/>
      <c r="F50" s="186"/>
      <c r="G50" s="165">
        <v>1</v>
      </c>
      <c r="H50" s="165" t="s">
        <v>86</v>
      </c>
      <c r="I50" s="166">
        <v>2000</v>
      </c>
      <c r="J50" s="166">
        <f t="shared" si="1"/>
        <v>2000</v>
      </c>
      <c r="K50" s="153"/>
      <c r="L50" s="153"/>
    </row>
    <row r="51" spans="1:12" ht="15.75">
      <c r="A51" s="183">
        <v>20</v>
      </c>
      <c r="B51" s="188" t="s">
        <v>194</v>
      </c>
      <c r="C51" s="189"/>
      <c r="D51" s="189"/>
      <c r="E51" s="189"/>
      <c r="F51" s="190"/>
      <c r="G51" s="165">
        <v>2</v>
      </c>
      <c r="H51" s="165" t="s">
        <v>144</v>
      </c>
      <c r="I51" s="166">
        <v>1300</v>
      </c>
      <c r="J51" s="166">
        <f>G51*I51</f>
        <v>2600</v>
      </c>
      <c r="K51" s="153"/>
      <c r="L51" s="153"/>
    </row>
    <row r="52" spans="1:12" ht="15.75">
      <c r="A52" s="183">
        <v>21</v>
      </c>
      <c r="B52" s="188" t="s">
        <v>249</v>
      </c>
      <c r="C52" s="185"/>
      <c r="D52" s="185"/>
      <c r="E52" s="185"/>
      <c r="F52" s="186"/>
      <c r="G52" s="165">
        <v>10</v>
      </c>
      <c r="H52" s="165" t="s">
        <v>86</v>
      </c>
      <c r="I52" s="166">
        <v>2800</v>
      </c>
      <c r="J52" s="166">
        <f t="shared" si="1"/>
        <v>28000</v>
      </c>
      <c r="K52" s="153"/>
      <c r="L52" s="153"/>
    </row>
    <row r="53" spans="1:10" ht="15.75">
      <c r="A53" s="243" t="s">
        <v>122</v>
      </c>
      <c r="B53" s="244"/>
      <c r="C53" s="244"/>
      <c r="D53" s="244"/>
      <c r="E53" s="244"/>
      <c r="F53" s="245"/>
      <c r="G53" s="107">
        <f>SUM(G32:G52)</f>
        <v>163</v>
      </c>
      <c r="H53" s="106"/>
      <c r="I53" s="107" t="s">
        <v>108</v>
      </c>
      <c r="J53" s="167">
        <f>SUM(J32:J52)</f>
        <v>69270</v>
      </c>
    </row>
    <row r="55" spans="1:12" ht="15.75">
      <c r="A55" s="108"/>
      <c r="B55" s="109"/>
      <c r="C55" s="109"/>
      <c r="D55" s="109"/>
      <c r="E55" s="109"/>
      <c r="F55" s="109"/>
      <c r="G55" s="108"/>
      <c r="H55" s="110"/>
      <c r="I55" s="153"/>
      <c r="J55" s="154"/>
      <c r="K55" s="153"/>
      <c r="L55" s="153"/>
    </row>
    <row r="56" spans="1:12" ht="15.75">
      <c r="A56" s="153" t="s">
        <v>197</v>
      </c>
      <c r="B56" s="21"/>
      <c r="C56" s="13"/>
      <c r="D56" s="13"/>
      <c r="I56" s="153" t="s">
        <v>198</v>
      </c>
      <c r="K56" s="65"/>
      <c r="L56" s="65"/>
    </row>
    <row r="57" spans="1:10" ht="31.5" hidden="1">
      <c r="A57" s="172" t="s">
        <v>2</v>
      </c>
      <c r="B57" s="250" t="s">
        <v>166</v>
      </c>
      <c r="C57" s="251"/>
      <c r="D57" s="251"/>
      <c r="E57" s="251"/>
      <c r="F57" s="252"/>
      <c r="G57" s="172" t="s">
        <v>167</v>
      </c>
      <c r="H57" s="172" t="s">
        <v>168</v>
      </c>
      <c r="I57" s="172" t="s">
        <v>169</v>
      </c>
      <c r="J57" s="172" t="s">
        <v>170</v>
      </c>
    </row>
    <row r="58" spans="1:10" ht="15.75" customHeight="1" hidden="1">
      <c r="A58" s="37">
        <v>1</v>
      </c>
      <c r="B58" s="246"/>
      <c r="C58" s="247"/>
      <c r="D58" s="247"/>
      <c r="E58" s="247"/>
      <c r="F58" s="248"/>
      <c r="G58" s="165"/>
      <c r="H58" s="165"/>
      <c r="I58" s="166"/>
      <c r="J58" s="38">
        <f>I58*G58</f>
        <v>0</v>
      </c>
    </row>
    <row r="59" spans="1:10" ht="15.75" customHeight="1" hidden="1">
      <c r="A59" s="37">
        <v>2</v>
      </c>
      <c r="B59" s="246"/>
      <c r="C59" s="247"/>
      <c r="D59" s="247"/>
      <c r="E59" s="247"/>
      <c r="F59" s="248"/>
      <c r="G59" s="165"/>
      <c r="H59" s="165"/>
      <c r="I59" s="166"/>
      <c r="J59" s="38">
        <f>I59*G59</f>
        <v>0</v>
      </c>
    </row>
    <row r="60" spans="1:10" ht="15.75" customHeight="1" hidden="1">
      <c r="A60" s="37">
        <v>3</v>
      </c>
      <c r="B60" s="246"/>
      <c r="C60" s="247"/>
      <c r="D60" s="247"/>
      <c r="E60" s="247"/>
      <c r="F60" s="248"/>
      <c r="G60" s="165"/>
      <c r="H60" s="165"/>
      <c r="I60" s="166"/>
      <c r="J60" s="38">
        <f>I60*G60</f>
        <v>0</v>
      </c>
    </row>
    <row r="61" spans="1:10" ht="15.75" customHeight="1" hidden="1">
      <c r="A61" s="37">
        <v>4</v>
      </c>
      <c r="B61" s="246"/>
      <c r="C61" s="247"/>
      <c r="D61" s="247"/>
      <c r="E61" s="247"/>
      <c r="F61" s="248"/>
      <c r="G61" s="165"/>
      <c r="H61" s="165"/>
      <c r="I61" s="166"/>
      <c r="J61" s="38">
        <f>I61*G61</f>
        <v>0</v>
      </c>
    </row>
    <row r="62" spans="1:10" ht="15.75" customHeight="1" hidden="1">
      <c r="A62" s="37">
        <v>5</v>
      </c>
      <c r="B62" s="246"/>
      <c r="C62" s="247"/>
      <c r="D62" s="247"/>
      <c r="E62" s="247"/>
      <c r="F62" s="248"/>
      <c r="G62" s="165"/>
      <c r="H62" s="165"/>
      <c r="I62" s="166"/>
      <c r="J62" s="38">
        <f aca="true" t="shared" si="2" ref="J62:J76">I62*G62</f>
        <v>0</v>
      </c>
    </row>
    <row r="63" spans="1:10" ht="15.75" customHeight="1" hidden="1">
      <c r="A63" s="37">
        <v>6</v>
      </c>
      <c r="B63" s="246"/>
      <c r="C63" s="247"/>
      <c r="D63" s="247"/>
      <c r="E63" s="247"/>
      <c r="F63" s="248"/>
      <c r="G63" s="165"/>
      <c r="H63" s="165"/>
      <c r="I63" s="166"/>
      <c r="J63" s="38">
        <f t="shared" si="2"/>
        <v>0</v>
      </c>
    </row>
    <row r="64" spans="1:10" ht="15.75" customHeight="1" hidden="1">
      <c r="A64" s="37">
        <v>7</v>
      </c>
      <c r="B64" s="246"/>
      <c r="C64" s="247"/>
      <c r="D64" s="247"/>
      <c r="E64" s="247"/>
      <c r="F64" s="248"/>
      <c r="G64" s="165"/>
      <c r="H64" s="165"/>
      <c r="I64" s="166"/>
      <c r="J64" s="38">
        <f t="shared" si="2"/>
        <v>0</v>
      </c>
    </row>
    <row r="65" spans="1:10" ht="15.75" customHeight="1" hidden="1">
      <c r="A65" s="37">
        <v>8</v>
      </c>
      <c r="B65" s="246"/>
      <c r="C65" s="247"/>
      <c r="D65" s="247"/>
      <c r="E65" s="247"/>
      <c r="F65" s="248"/>
      <c r="G65" s="165"/>
      <c r="H65" s="165"/>
      <c r="I65" s="166"/>
      <c r="J65" s="38">
        <f t="shared" si="2"/>
        <v>0</v>
      </c>
    </row>
    <row r="66" spans="1:10" ht="33" customHeight="1" hidden="1">
      <c r="A66" s="37">
        <v>9</v>
      </c>
      <c r="B66" s="246"/>
      <c r="C66" s="247"/>
      <c r="D66" s="247"/>
      <c r="E66" s="247"/>
      <c r="F66" s="248"/>
      <c r="G66" s="165"/>
      <c r="H66" s="165"/>
      <c r="I66" s="166"/>
      <c r="J66" s="38">
        <f t="shared" si="2"/>
        <v>0</v>
      </c>
    </row>
    <row r="67" spans="1:10" ht="15.75" customHeight="1" hidden="1">
      <c r="A67" s="37">
        <v>10</v>
      </c>
      <c r="B67" s="246"/>
      <c r="C67" s="253"/>
      <c r="D67" s="253"/>
      <c r="E67" s="253"/>
      <c r="F67" s="254"/>
      <c r="G67" s="165"/>
      <c r="H67" s="165"/>
      <c r="I67" s="166"/>
      <c r="J67" s="38">
        <f t="shared" si="2"/>
        <v>0</v>
      </c>
    </row>
    <row r="68" spans="1:10" ht="15.75" customHeight="1" hidden="1">
      <c r="A68" s="37">
        <v>11</v>
      </c>
      <c r="B68" s="246"/>
      <c r="C68" s="253"/>
      <c r="D68" s="253"/>
      <c r="E68" s="253"/>
      <c r="F68" s="254"/>
      <c r="G68" s="165"/>
      <c r="H68" s="165"/>
      <c r="I68" s="166"/>
      <c r="J68" s="38">
        <f t="shared" si="2"/>
        <v>0</v>
      </c>
    </row>
    <row r="69" spans="1:10" ht="15.75" customHeight="1" hidden="1">
      <c r="A69" s="37">
        <v>12</v>
      </c>
      <c r="B69" s="260"/>
      <c r="C69" s="261"/>
      <c r="D69" s="261"/>
      <c r="E69" s="261"/>
      <c r="F69" s="262"/>
      <c r="G69" s="165"/>
      <c r="H69" s="165"/>
      <c r="I69" s="166"/>
      <c r="J69" s="38">
        <f t="shared" si="2"/>
        <v>0</v>
      </c>
    </row>
    <row r="70" spans="1:10" ht="15.75" customHeight="1" hidden="1">
      <c r="A70" s="37">
        <v>13</v>
      </c>
      <c r="B70" s="260"/>
      <c r="C70" s="261"/>
      <c r="D70" s="261"/>
      <c r="E70" s="261"/>
      <c r="F70" s="262"/>
      <c r="G70" s="165"/>
      <c r="H70" s="165"/>
      <c r="I70" s="166"/>
      <c r="J70" s="38">
        <f t="shared" si="2"/>
        <v>0</v>
      </c>
    </row>
    <row r="71" spans="1:10" ht="38.25" customHeight="1" hidden="1">
      <c r="A71" s="37">
        <v>14</v>
      </c>
      <c r="B71" s="246"/>
      <c r="C71" s="253"/>
      <c r="D71" s="253"/>
      <c r="E71" s="253"/>
      <c r="F71" s="254"/>
      <c r="G71" s="165"/>
      <c r="H71" s="165"/>
      <c r="I71" s="166"/>
      <c r="J71" s="38">
        <f t="shared" si="2"/>
        <v>0</v>
      </c>
    </row>
    <row r="72" spans="1:10" ht="15.75" customHeight="1" hidden="1">
      <c r="A72" s="37">
        <v>15</v>
      </c>
      <c r="B72" s="246"/>
      <c r="C72" s="253"/>
      <c r="D72" s="253"/>
      <c r="E72" s="253"/>
      <c r="F72" s="254"/>
      <c r="G72" s="165"/>
      <c r="H72" s="165"/>
      <c r="I72" s="166"/>
      <c r="J72" s="38">
        <f t="shared" si="2"/>
        <v>0</v>
      </c>
    </row>
    <row r="73" spans="1:10" ht="15.75" customHeight="1" hidden="1">
      <c r="A73" s="37">
        <v>16</v>
      </c>
      <c r="B73" s="249"/>
      <c r="C73" s="249"/>
      <c r="D73" s="249"/>
      <c r="E73" s="249"/>
      <c r="F73" s="249"/>
      <c r="G73" s="165"/>
      <c r="H73" s="165"/>
      <c r="I73" s="166"/>
      <c r="J73" s="38">
        <f t="shared" si="2"/>
        <v>0</v>
      </c>
    </row>
    <row r="74" spans="1:10" ht="15.75" customHeight="1" hidden="1">
      <c r="A74" s="173">
        <v>17</v>
      </c>
      <c r="B74" s="246"/>
      <c r="C74" s="247"/>
      <c r="D74" s="247"/>
      <c r="E74" s="247"/>
      <c r="F74" s="248"/>
      <c r="G74" s="165"/>
      <c r="H74" s="165"/>
      <c r="I74" s="166"/>
      <c r="J74" s="38">
        <f t="shared" si="2"/>
        <v>0</v>
      </c>
    </row>
    <row r="75" spans="1:10" ht="15.75" customHeight="1" hidden="1">
      <c r="A75" s="173">
        <v>18</v>
      </c>
      <c r="B75" s="246"/>
      <c r="C75" s="247"/>
      <c r="D75" s="247"/>
      <c r="E75" s="247"/>
      <c r="F75" s="248"/>
      <c r="G75" s="165"/>
      <c r="H75" s="165"/>
      <c r="I75" s="166"/>
      <c r="J75" s="38">
        <f t="shared" si="2"/>
        <v>0</v>
      </c>
    </row>
    <row r="76" spans="1:10" ht="15.75" customHeight="1" hidden="1">
      <c r="A76" s="173">
        <v>19</v>
      </c>
      <c r="B76" s="246"/>
      <c r="C76" s="247"/>
      <c r="D76" s="247"/>
      <c r="E76" s="247"/>
      <c r="F76" s="248"/>
      <c r="G76" s="165"/>
      <c r="H76" s="165"/>
      <c r="I76" s="166"/>
      <c r="J76" s="38">
        <f t="shared" si="2"/>
        <v>0</v>
      </c>
    </row>
    <row r="77" spans="1:10" ht="15.75" hidden="1">
      <c r="A77" s="243" t="s">
        <v>122</v>
      </c>
      <c r="B77" s="244"/>
      <c r="C77" s="244"/>
      <c r="D77" s="244"/>
      <c r="E77" s="244"/>
      <c r="F77" s="245"/>
      <c r="G77" s="107">
        <f>SUM(G58:G76)</f>
        <v>0</v>
      </c>
      <c r="H77" s="106"/>
      <c r="I77" s="107" t="s">
        <v>108</v>
      </c>
      <c r="J77" s="167">
        <f>J76+J75+J74+J71+J70+J69+J68+J67+J66+J65+J64+J63+J62+J61+J60+J59+J58</f>
        <v>0</v>
      </c>
    </row>
    <row r="78" ht="15.75" hidden="1"/>
    <row r="79" ht="15.75" hidden="1"/>
    <row r="80" spans="1:12" ht="15.75" hidden="1">
      <c r="A80" s="108"/>
      <c r="B80" s="109"/>
      <c r="C80" s="109"/>
      <c r="D80" s="109"/>
      <c r="E80" s="109"/>
      <c r="F80" s="109"/>
      <c r="G80" s="108"/>
      <c r="H80" s="110"/>
      <c r="I80" s="153"/>
      <c r="J80" s="154"/>
      <c r="K80" s="153"/>
      <c r="L80" s="153"/>
    </row>
    <row r="81" spans="1:12" ht="15.75" hidden="1">
      <c r="A81" s="108"/>
      <c r="B81" s="109"/>
      <c r="C81" s="109"/>
      <c r="D81" s="109"/>
      <c r="E81" s="109"/>
      <c r="F81" s="109"/>
      <c r="G81" s="108"/>
      <c r="H81" s="110"/>
      <c r="I81" s="153"/>
      <c r="J81" s="154"/>
      <c r="K81" s="153"/>
      <c r="L81" s="153"/>
    </row>
    <row r="82" spans="1:12" ht="15.75" hidden="1">
      <c r="A82" s="108"/>
      <c r="B82" s="109"/>
      <c r="C82" s="109"/>
      <c r="D82" s="109"/>
      <c r="E82" s="109"/>
      <c r="F82" s="109"/>
      <c r="G82" s="108"/>
      <c r="H82" s="110"/>
      <c r="I82" s="153"/>
      <c r="J82" s="154"/>
      <c r="K82" s="153"/>
      <c r="L82" s="153"/>
    </row>
    <row r="83" spans="1:12" ht="15.75" hidden="1">
      <c r="A83" s="153" t="s">
        <v>133</v>
      </c>
      <c r="B83" s="21"/>
      <c r="C83" s="13"/>
      <c r="D83" s="13"/>
      <c r="I83" s="153" t="s">
        <v>134</v>
      </c>
      <c r="K83" s="65"/>
      <c r="L83" s="65"/>
    </row>
    <row r="84" spans="1:12" ht="15.75" hidden="1">
      <c r="A84" s="108"/>
      <c r="B84" s="109"/>
      <c r="C84" s="109"/>
      <c r="D84" s="109"/>
      <c r="E84" s="109"/>
      <c r="F84" s="109"/>
      <c r="G84" s="13"/>
      <c r="H84" s="20"/>
      <c r="I84" s="13"/>
      <c r="J84" s="13"/>
      <c r="K84" s="105"/>
      <c r="L84" s="105"/>
    </row>
    <row r="85" spans="1:12" ht="18.75" hidden="1">
      <c r="A85" s="196" t="s">
        <v>153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</row>
    <row r="86" spans="1:12" ht="36" customHeight="1" hidden="1">
      <c r="A86" s="197" t="s">
        <v>154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</row>
    <row r="87" spans="1:12" ht="27" customHeight="1" hidden="1">
      <c r="A87" s="197" t="s">
        <v>185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</row>
    <row r="88" spans="1:10" ht="26.25" customHeight="1" hidden="1">
      <c r="A88" s="255" t="s">
        <v>155</v>
      </c>
      <c r="B88" s="255"/>
      <c r="C88" s="255"/>
      <c r="D88" s="255"/>
      <c r="E88" s="256" t="str">
        <f>'Комплектование групп'!B10</f>
        <v>Кружок "Родительский клуб «Навстречу друг к другу»."</v>
      </c>
      <c r="F88" s="256"/>
      <c r="G88" s="256"/>
      <c r="H88" s="256"/>
      <c r="I88" s="256"/>
      <c r="J88" s="256"/>
    </row>
    <row r="89" spans="1:10" ht="37.5" customHeight="1" hidden="1">
      <c r="A89" s="172" t="s">
        <v>2</v>
      </c>
      <c r="B89" s="250" t="s">
        <v>166</v>
      </c>
      <c r="C89" s="251"/>
      <c r="D89" s="251"/>
      <c r="E89" s="251"/>
      <c r="F89" s="252"/>
      <c r="G89" s="172" t="s">
        <v>167</v>
      </c>
      <c r="H89" s="172" t="s">
        <v>168</v>
      </c>
      <c r="I89" s="172" t="s">
        <v>169</v>
      </c>
      <c r="J89" s="172" t="s">
        <v>170</v>
      </c>
    </row>
    <row r="90" spans="1:10" ht="15.75" customHeight="1" hidden="1">
      <c r="A90" s="37">
        <v>1</v>
      </c>
      <c r="B90" s="246"/>
      <c r="C90" s="247"/>
      <c r="D90" s="247"/>
      <c r="E90" s="247"/>
      <c r="F90" s="248"/>
      <c r="G90" s="165"/>
      <c r="H90" s="165"/>
      <c r="I90" s="166"/>
      <c r="J90" s="166">
        <f>G90*I90</f>
        <v>0</v>
      </c>
    </row>
    <row r="91" spans="1:10" ht="15.75" customHeight="1" hidden="1">
      <c r="A91" s="37">
        <v>2</v>
      </c>
      <c r="B91" s="246"/>
      <c r="C91" s="247"/>
      <c r="D91" s="247"/>
      <c r="E91" s="247"/>
      <c r="F91" s="248"/>
      <c r="G91" s="165"/>
      <c r="H91" s="165"/>
      <c r="I91" s="166"/>
      <c r="J91" s="166">
        <f aca="true" t="shared" si="3" ref="J91:J99">G91*I91</f>
        <v>0</v>
      </c>
    </row>
    <row r="92" spans="1:10" ht="15.75" customHeight="1" hidden="1">
      <c r="A92" s="37">
        <v>3</v>
      </c>
      <c r="B92" s="246"/>
      <c r="C92" s="247"/>
      <c r="D92" s="247"/>
      <c r="E92" s="247"/>
      <c r="F92" s="248"/>
      <c r="G92" s="165"/>
      <c r="H92" s="165"/>
      <c r="I92" s="166"/>
      <c r="J92" s="166">
        <f t="shared" si="3"/>
        <v>0</v>
      </c>
    </row>
    <row r="93" spans="1:10" ht="15.75" customHeight="1" hidden="1">
      <c r="A93" s="37">
        <v>4</v>
      </c>
      <c r="B93" s="246"/>
      <c r="C93" s="247"/>
      <c r="D93" s="247"/>
      <c r="E93" s="247"/>
      <c r="F93" s="248"/>
      <c r="G93" s="165"/>
      <c r="H93" s="165"/>
      <c r="I93" s="166"/>
      <c r="J93" s="166">
        <f t="shared" si="3"/>
        <v>0</v>
      </c>
    </row>
    <row r="94" spans="1:10" ht="15.75" customHeight="1" hidden="1">
      <c r="A94" s="37">
        <v>5</v>
      </c>
      <c r="B94" s="246"/>
      <c r="C94" s="247"/>
      <c r="D94" s="247"/>
      <c r="E94" s="247"/>
      <c r="F94" s="248"/>
      <c r="G94" s="165"/>
      <c r="H94" s="165"/>
      <c r="I94" s="166"/>
      <c r="J94" s="166">
        <f t="shared" si="3"/>
        <v>0</v>
      </c>
    </row>
    <row r="95" spans="1:10" ht="15.75" customHeight="1" hidden="1">
      <c r="A95" s="37">
        <v>6</v>
      </c>
      <c r="B95" s="246"/>
      <c r="C95" s="247"/>
      <c r="D95" s="247"/>
      <c r="E95" s="247"/>
      <c r="F95" s="248"/>
      <c r="G95" s="165"/>
      <c r="H95" s="165"/>
      <c r="I95" s="166"/>
      <c r="J95" s="166">
        <f t="shared" si="3"/>
        <v>0</v>
      </c>
    </row>
    <row r="96" spans="1:10" ht="15.75" customHeight="1" hidden="1">
      <c r="A96" s="37">
        <v>7</v>
      </c>
      <c r="B96" s="246"/>
      <c r="C96" s="247"/>
      <c r="D96" s="247"/>
      <c r="E96" s="247"/>
      <c r="F96" s="248"/>
      <c r="G96" s="165"/>
      <c r="H96" s="165"/>
      <c r="I96" s="166"/>
      <c r="J96" s="166">
        <f t="shared" si="3"/>
        <v>0</v>
      </c>
    </row>
    <row r="97" spans="1:10" ht="15.75" hidden="1">
      <c r="A97" s="37">
        <v>8</v>
      </c>
      <c r="B97" s="246"/>
      <c r="C97" s="247"/>
      <c r="D97" s="247"/>
      <c r="E97" s="247"/>
      <c r="F97" s="248"/>
      <c r="G97" s="165"/>
      <c r="H97" s="165"/>
      <c r="I97" s="166"/>
      <c r="J97" s="166">
        <f t="shared" si="3"/>
        <v>0</v>
      </c>
    </row>
    <row r="98" spans="1:10" ht="15.75" customHeight="1" hidden="1">
      <c r="A98" s="37">
        <v>9</v>
      </c>
      <c r="B98" s="246"/>
      <c r="C98" s="247"/>
      <c r="D98" s="247"/>
      <c r="E98" s="247"/>
      <c r="F98" s="248"/>
      <c r="G98" s="165"/>
      <c r="H98" s="165"/>
      <c r="I98" s="166"/>
      <c r="J98" s="166">
        <f t="shared" si="3"/>
        <v>0</v>
      </c>
    </row>
    <row r="99" spans="1:10" ht="15.75" customHeight="1" hidden="1">
      <c r="A99" s="173">
        <v>10</v>
      </c>
      <c r="B99" s="246"/>
      <c r="C99" s="247"/>
      <c r="D99" s="247"/>
      <c r="E99" s="247"/>
      <c r="F99" s="248"/>
      <c r="G99" s="165"/>
      <c r="H99" s="165"/>
      <c r="I99" s="166"/>
      <c r="J99" s="166">
        <f t="shared" si="3"/>
        <v>0</v>
      </c>
    </row>
    <row r="100" spans="1:10" ht="15.75" hidden="1">
      <c r="A100" s="243" t="s">
        <v>122</v>
      </c>
      <c r="B100" s="244"/>
      <c r="C100" s="244"/>
      <c r="D100" s="244"/>
      <c r="E100" s="244"/>
      <c r="F100" s="245"/>
      <c r="G100" s="107">
        <f>SUM(G90:G99)</f>
        <v>0</v>
      </c>
      <c r="H100" s="106"/>
      <c r="I100" s="107" t="s">
        <v>108</v>
      </c>
      <c r="J100" s="167">
        <f>SUM(J90:J99)</f>
        <v>0</v>
      </c>
    </row>
    <row r="101" ht="15.75" hidden="1"/>
    <row r="102" ht="15.75" hidden="1"/>
    <row r="103" spans="1:12" ht="15.75" hidden="1">
      <c r="A103" s="108"/>
      <c r="B103" s="109"/>
      <c r="C103" s="109"/>
      <c r="D103" s="109"/>
      <c r="E103" s="109"/>
      <c r="F103" s="109"/>
      <c r="G103" s="108"/>
      <c r="H103" s="110"/>
      <c r="I103" s="153"/>
      <c r="J103" s="154"/>
      <c r="K103" s="153"/>
      <c r="L103" s="153"/>
    </row>
    <row r="104" spans="1:12" ht="15.75" hidden="1">
      <c r="A104" s="108"/>
      <c r="B104" s="109"/>
      <c r="C104" s="109"/>
      <c r="D104" s="109"/>
      <c r="E104" s="109"/>
      <c r="F104" s="109"/>
      <c r="G104" s="108"/>
      <c r="H104" s="110"/>
      <c r="I104" s="153"/>
      <c r="J104" s="154"/>
      <c r="K104" s="153"/>
      <c r="L104" s="153"/>
    </row>
    <row r="105" spans="1:12" ht="15.75" hidden="1">
      <c r="A105" s="153" t="s">
        <v>133</v>
      </c>
      <c r="B105" s="21"/>
      <c r="C105" s="13"/>
      <c r="D105" s="13"/>
      <c r="I105" s="153" t="s">
        <v>134</v>
      </c>
      <c r="K105" s="153"/>
      <c r="L105" s="153"/>
    </row>
    <row r="106" spans="1:12" ht="15.75">
      <c r="A106" s="108"/>
      <c r="B106" s="109"/>
      <c r="C106" s="109"/>
      <c r="D106" s="109"/>
      <c r="E106" s="109"/>
      <c r="F106" s="109"/>
      <c r="G106" s="13"/>
      <c r="H106" s="20"/>
      <c r="I106" s="263"/>
      <c r="J106" s="263"/>
      <c r="K106" s="263"/>
      <c r="L106" s="263"/>
    </row>
    <row r="107" spans="1:12" ht="15.75">
      <c r="A107" s="108"/>
      <c r="B107" s="109"/>
      <c r="C107" s="109"/>
      <c r="D107" s="109"/>
      <c r="E107" s="109"/>
      <c r="F107" s="109"/>
      <c r="G107" s="13"/>
      <c r="H107" s="20"/>
      <c r="I107" s="13"/>
      <c r="J107" s="13"/>
      <c r="K107" s="105"/>
      <c r="L107" s="105"/>
    </row>
    <row r="109" spans="1:12" ht="18.75">
      <c r="A109" s="196" t="s">
        <v>153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</row>
    <row r="110" spans="1:12" ht="39.75" customHeight="1">
      <c r="A110" s="197" t="s">
        <v>154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</row>
    <row r="111" spans="1:12" ht="15.75" customHeight="1">
      <c r="A111" s="197" t="s">
        <v>203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</row>
    <row r="112" spans="1:10" ht="24" customHeight="1">
      <c r="A112" s="255" t="s">
        <v>155</v>
      </c>
      <c r="B112" s="255"/>
      <c r="C112" s="255"/>
      <c r="D112" s="255"/>
      <c r="E112" s="256" t="str">
        <f>'Комплектование групп'!B9</f>
        <v>Кружок "Черлидинг" </v>
      </c>
      <c r="F112" s="256"/>
      <c r="G112" s="256"/>
      <c r="H112" s="256"/>
      <c r="I112" s="256"/>
      <c r="J112" s="256"/>
    </row>
    <row r="113" spans="1:10" ht="37.5" customHeight="1">
      <c r="A113" s="172" t="s">
        <v>2</v>
      </c>
      <c r="B113" s="250" t="s">
        <v>166</v>
      </c>
      <c r="C113" s="251"/>
      <c r="D113" s="251"/>
      <c r="E113" s="251"/>
      <c r="F113" s="252"/>
      <c r="G113" s="172" t="s">
        <v>167</v>
      </c>
      <c r="H113" s="172" t="s">
        <v>168</v>
      </c>
      <c r="I113" s="172" t="s">
        <v>169</v>
      </c>
      <c r="J113" s="172" t="s">
        <v>170</v>
      </c>
    </row>
    <row r="114" spans="1:10" ht="15.75" customHeight="1">
      <c r="A114" s="183">
        <v>1</v>
      </c>
      <c r="B114" s="240" t="s">
        <v>250</v>
      </c>
      <c r="C114" s="241"/>
      <c r="D114" s="241"/>
      <c r="E114" s="241"/>
      <c r="F114" s="242"/>
      <c r="G114" s="165">
        <v>5</v>
      </c>
      <c r="H114" s="165" t="s">
        <v>86</v>
      </c>
      <c r="I114" s="166">
        <v>200</v>
      </c>
      <c r="J114" s="166">
        <f>G114*I114</f>
        <v>1000</v>
      </c>
    </row>
    <row r="115" spans="1:10" ht="15.75">
      <c r="A115" s="243" t="s">
        <v>122</v>
      </c>
      <c r="B115" s="244"/>
      <c r="C115" s="244"/>
      <c r="D115" s="244"/>
      <c r="E115" s="244"/>
      <c r="F115" s="245"/>
      <c r="G115" s="107">
        <f>SUM(G114:G114)</f>
        <v>5</v>
      </c>
      <c r="H115" s="106"/>
      <c r="I115" s="107" t="s">
        <v>108</v>
      </c>
      <c r="J115" s="167">
        <f>SUM(J114:J114)</f>
        <v>1000</v>
      </c>
    </row>
    <row r="117" spans="1:12" ht="15.75">
      <c r="A117" s="108"/>
      <c r="B117" s="109"/>
      <c r="C117" s="109"/>
      <c r="D117" s="109"/>
      <c r="E117" s="109"/>
      <c r="F117" s="109"/>
      <c r="G117" s="108"/>
      <c r="H117" s="110"/>
      <c r="I117" s="153"/>
      <c r="J117" s="154"/>
      <c r="K117" s="153"/>
      <c r="L117" s="153"/>
    </row>
    <row r="118" spans="1:12" ht="15.75">
      <c r="A118" s="153" t="s">
        <v>197</v>
      </c>
      <c r="B118" s="21"/>
      <c r="C118" s="13"/>
      <c r="D118" s="13"/>
      <c r="I118" s="153" t="s">
        <v>198</v>
      </c>
      <c r="K118" s="65"/>
      <c r="L118" s="65"/>
    </row>
    <row r="123" spans="1:12" ht="18.75">
      <c r="A123" s="196" t="s">
        <v>153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</row>
    <row r="124" spans="1:12" ht="39.75" customHeight="1">
      <c r="A124" s="197" t="s">
        <v>154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</row>
    <row r="125" spans="1:12" ht="15.75" customHeight="1">
      <c r="A125" s="197" t="s">
        <v>203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</row>
    <row r="126" spans="1:10" ht="24" customHeight="1">
      <c r="A126" s="255" t="s">
        <v>155</v>
      </c>
      <c r="B126" s="255"/>
      <c r="C126" s="255"/>
      <c r="D126" s="255"/>
      <c r="E126" s="256" t="str">
        <f>'Комплектование групп'!B10</f>
        <v>Кружок "Родительский клуб «Навстречу друг к другу»."</v>
      </c>
      <c r="F126" s="256"/>
      <c r="G126" s="256"/>
      <c r="H126" s="256"/>
      <c r="I126" s="256"/>
      <c r="J126" s="256"/>
    </row>
    <row r="127" spans="1:10" ht="37.5" customHeight="1">
      <c r="A127" s="172" t="s">
        <v>2</v>
      </c>
      <c r="B127" s="250" t="s">
        <v>166</v>
      </c>
      <c r="C127" s="251"/>
      <c r="D127" s="251"/>
      <c r="E127" s="251"/>
      <c r="F127" s="252"/>
      <c r="G127" s="172" t="s">
        <v>167</v>
      </c>
      <c r="H127" s="172" t="s">
        <v>168</v>
      </c>
      <c r="I127" s="172" t="s">
        <v>169</v>
      </c>
      <c r="J127" s="172" t="s">
        <v>170</v>
      </c>
    </row>
    <row r="128" spans="1:10" ht="31.5" customHeight="1">
      <c r="A128" s="183">
        <v>1</v>
      </c>
      <c r="B128" s="246" t="s">
        <v>135</v>
      </c>
      <c r="C128" s="247"/>
      <c r="D128" s="247"/>
      <c r="E128" s="247"/>
      <c r="F128" s="248"/>
      <c r="G128" s="165">
        <v>10</v>
      </c>
      <c r="H128" s="165" t="s">
        <v>86</v>
      </c>
      <c r="I128" s="166">
        <v>460</v>
      </c>
      <c r="J128" s="166">
        <f aca="true" t="shared" si="4" ref="J128:J145">G128*I128</f>
        <v>4600</v>
      </c>
    </row>
    <row r="129" spans="1:10" ht="15.75" customHeight="1">
      <c r="A129" s="183">
        <v>2</v>
      </c>
      <c r="B129" s="246" t="s">
        <v>248</v>
      </c>
      <c r="C129" s="247"/>
      <c r="D129" s="247"/>
      <c r="E129" s="247"/>
      <c r="F129" s="248"/>
      <c r="G129" s="165">
        <v>10</v>
      </c>
      <c r="H129" s="165" t="s">
        <v>86</v>
      </c>
      <c r="I129" s="166">
        <v>100</v>
      </c>
      <c r="J129" s="166">
        <f t="shared" si="4"/>
        <v>1000</v>
      </c>
    </row>
    <row r="130" spans="1:10" ht="15" customHeight="1">
      <c r="A130" s="183">
        <v>3</v>
      </c>
      <c r="B130" s="246" t="s">
        <v>136</v>
      </c>
      <c r="C130" s="247"/>
      <c r="D130" s="247"/>
      <c r="E130" s="247"/>
      <c r="F130" s="248"/>
      <c r="G130" s="165">
        <v>20</v>
      </c>
      <c r="H130" s="165" t="s">
        <v>86</v>
      </c>
      <c r="I130" s="166">
        <v>15</v>
      </c>
      <c r="J130" s="166">
        <f t="shared" si="4"/>
        <v>300</v>
      </c>
    </row>
    <row r="131" spans="1:12" ht="15.75" customHeight="1">
      <c r="A131" s="183">
        <v>4</v>
      </c>
      <c r="B131" s="246" t="s">
        <v>137</v>
      </c>
      <c r="C131" s="247"/>
      <c r="D131" s="247"/>
      <c r="E131" s="247"/>
      <c r="F131" s="248"/>
      <c r="G131" s="165">
        <v>10</v>
      </c>
      <c r="H131" s="165" t="s">
        <v>138</v>
      </c>
      <c r="I131" s="166">
        <v>50</v>
      </c>
      <c r="J131" s="166">
        <f t="shared" si="4"/>
        <v>500</v>
      </c>
      <c r="K131" s="105"/>
      <c r="L131" s="105"/>
    </row>
    <row r="132" spans="1:12" ht="15.75" customHeight="1">
      <c r="A132" s="183">
        <v>5</v>
      </c>
      <c r="B132" s="246" t="s">
        <v>139</v>
      </c>
      <c r="C132" s="247"/>
      <c r="D132" s="247"/>
      <c r="E132" s="247"/>
      <c r="F132" s="248"/>
      <c r="G132" s="165">
        <v>10</v>
      </c>
      <c r="H132" s="165" t="s">
        <v>86</v>
      </c>
      <c r="I132" s="166">
        <v>100</v>
      </c>
      <c r="J132" s="166">
        <f t="shared" si="4"/>
        <v>1000</v>
      </c>
      <c r="K132" s="105"/>
      <c r="L132" s="105"/>
    </row>
    <row r="133" spans="1:10" ht="15.75" customHeight="1">
      <c r="A133" s="183">
        <v>6</v>
      </c>
      <c r="B133" s="246" t="s">
        <v>149</v>
      </c>
      <c r="C133" s="247"/>
      <c r="D133" s="247"/>
      <c r="E133" s="247"/>
      <c r="F133" s="248"/>
      <c r="G133" s="165">
        <v>2</v>
      </c>
      <c r="H133" s="165" t="s">
        <v>86</v>
      </c>
      <c r="I133" s="166">
        <v>500</v>
      </c>
      <c r="J133" s="166">
        <f t="shared" si="4"/>
        <v>1000</v>
      </c>
    </row>
    <row r="134" spans="1:10" ht="15.75" customHeight="1">
      <c r="A134" s="183">
        <v>7</v>
      </c>
      <c r="B134" s="246" t="s">
        <v>246</v>
      </c>
      <c r="C134" s="247"/>
      <c r="D134" s="247"/>
      <c r="E134" s="247"/>
      <c r="F134" s="248"/>
      <c r="G134" s="165">
        <v>2</v>
      </c>
      <c r="H134" s="165" t="s">
        <v>86</v>
      </c>
      <c r="I134" s="166">
        <v>1800</v>
      </c>
      <c r="J134" s="166">
        <f t="shared" si="4"/>
        <v>3600</v>
      </c>
    </row>
    <row r="135" spans="1:12" ht="15.75" customHeight="1">
      <c r="A135" s="183">
        <v>8</v>
      </c>
      <c r="B135" s="237" t="s">
        <v>140</v>
      </c>
      <c r="C135" s="238"/>
      <c r="D135" s="238"/>
      <c r="E135" s="238"/>
      <c r="F135" s="239"/>
      <c r="G135" s="165">
        <v>10</v>
      </c>
      <c r="H135" s="165" t="s">
        <v>86</v>
      </c>
      <c r="I135" s="166">
        <v>50</v>
      </c>
      <c r="J135" s="166">
        <f t="shared" si="4"/>
        <v>500</v>
      </c>
      <c r="K135" s="105"/>
      <c r="L135" s="105"/>
    </row>
    <row r="136" spans="1:12" ht="15.75">
      <c r="A136" s="183">
        <v>9</v>
      </c>
      <c r="B136" s="237" t="s">
        <v>141</v>
      </c>
      <c r="C136" s="238"/>
      <c r="D136" s="238"/>
      <c r="E136" s="238"/>
      <c r="F136" s="239"/>
      <c r="G136" s="165">
        <v>10</v>
      </c>
      <c r="H136" s="165" t="s">
        <v>86</v>
      </c>
      <c r="I136" s="166">
        <v>1300</v>
      </c>
      <c r="J136" s="166">
        <f t="shared" si="4"/>
        <v>13000</v>
      </c>
      <c r="K136" s="105"/>
      <c r="L136" s="105"/>
    </row>
    <row r="137" spans="1:10" ht="15.75">
      <c r="A137" s="183">
        <v>10</v>
      </c>
      <c r="B137" s="240" t="s">
        <v>142</v>
      </c>
      <c r="C137" s="241"/>
      <c r="D137" s="241"/>
      <c r="E137" s="241"/>
      <c r="F137" s="242"/>
      <c r="G137" s="165">
        <v>6</v>
      </c>
      <c r="H137" s="165" t="s">
        <v>86</v>
      </c>
      <c r="I137" s="166">
        <v>420</v>
      </c>
      <c r="J137" s="166">
        <f t="shared" si="4"/>
        <v>2520</v>
      </c>
    </row>
    <row r="138" spans="1:12" ht="15.75">
      <c r="A138" s="183">
        <v>11</v>
      </c>
      <c r="B138" s="237" t="s">
        <v>143</v>
      </c>
      <c r="C138" s="238"/>
      <c r="D138" s="238"/>
      <c r="E138" s="238"/>
      <c r="F138" s="239"/>
      <c r="G138" s="165">
        <v>5</v>
      </c>
      <c r="H138" s="165" t="s">
        <v>144</v>
      </c>
      <c r="I138" s="166">
        <v>280</v>
      </c>
      <c r="J138" s="166">
        <f t="shared" si="4"/>
        <v>1400</v>
      </c>
      <c r="K138" s="105"/>
      <c r="L138" s="105"/>
    </row>
    <row r="139" spans="1:12" ht="15.75">
      <c r="A139" s="183">
        <v>12</v>
      </c>
      <c r="B139" s="240" t="s">
        <v>145</v>
      </c>
      <c r="C139" s="241"/>
      <c r="D139" s="241"/>
      <c r="E139" s="241"/>
      <c r="F139" s="242"/>
      <c r="G139" s="165">
        <v>5</v>
      </c>
      <c r="H139" s="165" t="s">
        <v>86</v>
      </c>
      <c r="I139" s="166">
        <v>540</v>
      </c>
      <c r="J139" s="166">
        <f t="shared" si="4"/>
        <v>2700</v>
      </c>
      <c r="K139" s="105"/>
      <c r="L139" s="105"/>
    </row>
    <row r="140" spans="1:12" ht="15.75">
      <c r="A140" s="183">
        <v>13</v>
      </c>
      <c r="B140" s="240" t="s">
        <v>187</v>
      </c>
      <c r="C140" s="241"/>
      <c r="D140" s="241"/>
      <c r="E140" s="241"/>
      <c r="F140" s="242"/>
      <c r="G140" s="165">
        <v>10</v>
      </c>
      <c r="H140" s="165" t="s">
        <v>86</v>
      </c>
      <c r="I140" s="166">
        <v>100</v>
      </c>
      <c r="J140" s="166">
        <f t="shared" si="4"/>
        <v>1000</v>
      </c>
      <c r="K140" s="105"/>
      <c r="L140" s="105"/>
    </row>
    <row r="141" spans="1:12" ht="15.75">
      <c r="A141" s="183">
        <v>14</v>
      </c>
      <c r="B141" s="240" t="s">
        <v>146</v>
      </c>
      <c r="C141" s="241"/>
      <c r="D141" s="241"/>
      <c r="E141" s="241"/>
      <c r="F141" s="242"/>
      <c r="G141" s="165">
        <v>5</v>
      </c>
      <c r="H141" s="165" t="s">
        <v>86</v>
      </c>
      <c r="I141" s="166">
        <v>150</v>
      </c>
      <c r="J141" s="166">
        <f t="shared" si="4"/>
        <v>750</v>
      </c>
      <c r="K141" s="105"/>
      <c r="L141" s="105"/>
    </row>
    <row r="142" spans="1:12" ht="15.75">
      <c r="A142" s="183">
        <v>15</v>
      </c>
      <c r="B142" s="240" t="s">
        <v>147</v>
      </c>
      <c r="C142" s="241"/>
      <c r="D142" s="241"/>
      <c r="E142" s="241"/>
      <c r="F142" s="242"/>
      <c r="G142" s="165">
        <v>10</v>
      </c>
      <c r="H142" s="165" t="s">
        <v>86</v>
      </c>
      <c r="I142" s="166">
        <v>50</v>
      </c>
      <c r="J142" s="166">
        <f t="shared" si="4"/>
        <v>500</v>
      </c>
      <c r="K142" s="105"/>
      <c r="L142" s="105"/>
    </row>
    <row r="143" spans="1:10" ht="15.75">
      <c r="A143" s="183">
        <v>16</v>
      </c>
      <c r="B143" s="191" t="s">
        <v>148</v>
      </c>
      <c r="C143" s="192"/>
      <c r="D143" s="192"/>
      <c r="E143" s="192"/>
      <c r="F143" s="193"/>
      <c r="G143" s="165">
        <v>10</v>
      </c>
      <c r="H143" s="165" t="s">
        <v>86</v>
      </c>
      <c r="I143" s="166">
        <v>60</v>
      </c>
      <c r="J143" s="166">
        <f t="shared" si="4"/>
        <v>600</v>
      </c>
    </row>
    <row r="144" spans="1:10" ht="15.75">
      <c r="A144" s="183">
        <v>17</v>
      </c>
      <c r="B144" s="191" t="s">
        <v>188</v>
      </c>
      <c r="C144" s="192"/>
      <c r="D144" s="192"/>
      <c r="E144" s="192"/>
      <c r="F144" s="193"/>
      <c r="G144" s="165">
        <v>5</v>
      </c>
      <c r="H144" s="165" t="s">
        <v>86</v>
      </c>
      <c r="I144" s="166">
        <v>180</v>
      </c>
      <c r="J144" s="166">
        <f t="shared" si="4"/>
        <v>900</v>
      </c>
    </row>
    <row r="145" spans="1:12" ht="15.75">
      <c r="A145" s="183">
        <v>18</v>
      </c>
      <c r="B145" s="191" t="s">
        <v>165</v>
      </c>
      <c r="C145" s="192"/>
      <c r="D145" s="192"/>
      <c r="E145" s="192"/>
      <c r="F145" s="193"/>
      <c r="G145" s="165">
        <v>1</v>
      </c>
      <c r="H145" s="165" t="s">
        <v>86</v>
      </c>
      <c r="I145" s="166">
        <v>2000</v>
      </c>
      <c r="J145" s="166">
        <f t="shared" si="4"/>
        <v>2000</v>
      </c>
      <c r="K145" s="153"/>
      <c r="L145" s="153"/>
    </row>
    <row r="146" spans="1:10" ht="15.75">
      <c r="A146" s="243" t="s">
        <v>122</v>
      </c>
      <c r="B146" s="244"/>
      <c r="C146" s="244"/>
      <c r="D146" s="244"/>
      <c r="E146" s="244"/>
      <c r="F146" s="245"/>
      <c r="G146" s="107">
        <f>SUM(G128:G145)</f>
        <v>141</v>
      </c>
      <c r="H146" s="106"/>
      <c r="I146" s="107" t="s">
        <v>108</v>
      </c>
      <c r="J146" s="167">
        <f>SUM(J128:J145)</f>
        <v>37870</v>
      </c>
    </row>
    <row r="148" spans="1:12" ht="15.75">
      <c r="A148" s="108"/>
      <c r="B148" s="109"/>
      <c r="C148" s="109"/>
      <c r="D148" s="109"/>
      <c r="E148" s="109"/>
      <c r="F148" s="109"/>
      <c r="G148" s="108"/>
      <c r="H148" s="110"/>
      <c r="I148" s="153"/>
      <c r="J148" s="154"/>
      <c r="K148" s="153"/>
      <c r="L148" s="153"/>
    </row>
    <row r="149" spans="1:12" ht="15.75">
      <c r="A149" s="153" t="s">
        <v>197</v>
      </c>
      <c r="B149" s="21"/>
      <c r="C149" s="13"/>
      <c r="D149" s="13"/>
      <c r="I149" s="153" t="s">
        <v>198</v>
      </c>
      <c r="K149" s="65"/>
      <c r="L149" s="65"/>
    </row>
  </sheetData>
  <sheetProtection/>
  <mergeCells count="114">
    <mergeCell ref="B128:F128"/>
    <mergeCell ref="A115:F115"/>
    <mergeCell ref="A123:L123"/>
    <mergeCell ref="A124:L124"/>
    <mergeCell ref="A125:L125"/>
    <mergeCell ref="A126:D126"/>
    <mergeCell ref="E126:J126"/>
    <mergeCell ref="B127:F127"/>
    <mergeCell ref="B113:F113"/>
    <mergeCell ref="B114:F114"/>
    <mergeCell ref="A111:L111"/>
    <mergeCell ref="A112:D112"/>
    <mergeCell ref="E112:J112"/>
    <mergeCell ref="B47:F47"/>
    <mergeCell ref="B70:F70"/>
    <mergeCell ref="B58:F58"/>
    <mergeCell ref="B63:F63"/>
    <mergeCell ref="I106:L106"/>
    <mergeCell ref="A109:L109"/>
    <mergeCell ref="A110:L110"/>
    <mergeCell ref="B43:F43"/>
    <mergeCell ref="B44:F44"/>
    <mergeCell ref="B45:F45"/>
    <mergeCell ref="A86:L86"/>
    <mergeCell ref="B65:F65"/>
    <mergeCell ref="B72:F72"/>
    <mergeCell ref="A27:L27"/>
    <mergeCell ref="A30:D30"/>
    <mergeCell ref="A28:L28"/>
    <mergeCell ref="A29:L29"/>
    <mergeCell ref="E30:J30"/>
    <mergeCell ref="B31:F31"/>
    <mergeCell ref="B64:F64"/>
    <mergeCell ref="B59:F59"/>
    <mergeCell ref="B57:F57"/>
    <mergeCell ref="B32:F32"/>
    <mergeCell ref="B35:F35"/>
    <mergeCell ref="B33:F33"/>
    <mergeCell ref="B34:F34"/>
    <mergeCell ref="B46:F46"/>
    <mergeCell ref="B40:F40"/>
    <mergeCell ref="B69:F69"/>
    <mergeCell ref="B60:F60"/>
    <mergeCell ref="B38:F38"/>
    <mergeCell ref="B36:F36"/>
    <mergeCell ref="B37:F37"/>
    <mergeCell ref="A77:F77"/>
    <mergeCell ref="B66:F66"/>
    <mergeCell ref="B39:F39"/>
    <mergeCell ref="B41:F41"/>
    <mergeCell ref="B42:F42"/>
    <mergeCell ref="A1:L1"/>
    <mergeCell ref="A2:L2"/>
    <mergeCell ref="A3:L3"/>
    <mergeCell ref="A4:D4"/>
    <mergeCell ref="E4:J4"/>
    <mergeCell ref="B5:F5"/>
    <mergeCell ref="B99:F99"/>
    <mergeCell ref="B20:F20"/>
    <mergeCell ref="B16:F16"/>
    <mergeCell ref="B17:F17"/>
    <mergeCell ref="B18:F18"/>
    <mergeCell ref="B11:F11"/>
    <mergeCell ref="A21:F21"/>
    <mergeCell ref="B97:F97"/>
    <mergeCell ref="B71:F71"/>
    <mergeCell ref="B68:F68"/>
    <mergeCell ref="B98:F98"/>
    <mergeCell ref="B61:F61"/>
    <mergeCell ref="B67:F67"/>
    <mergeCell ref="A85:L85"/>
    <mergeCell ref="A53:F53"/>
    <mergeCell ref="A100:F100"/>
    <mergeCell ref="A87:L87"/>
    <mergeCell ref="A88:D88"/>
    <mergeCell ref="E88:J88"/>
    <mergeCell ref="B62:F62"/>
    <mergeCell ref="B19:F19"/>
    <mergeCell ref="B13:F13"/>
    <mergeCell ref="B12:F12"/>
    <mergeCell ref="B6:F6"/>
    <mergeCell ref="B7:F7"/>
    <mergeCell ref="B10:F10"/>
    <mergeCell ref="B8:F8"/>
    <mergeCell ref="B9:F9"/>
    <mergeCell ref="B89:F89"/>
    <mergeCell ref="B76:F76"/>
    <mergeCell ref="B75:F75"/>
    <mergeCell ref="B91:F91"/>
    <mergeCell ref="B92:F92"/>
    <mergeCell ref="B93:F93"/>
    <mergeCell ref="B90:F90"/>
    <mergeCell ref="B74:F74"/>
    <mergeCell ref="B14:F14"/>
    <mergeCell ref="B15:F15"/>
    <mergeCell ref="B129:F129"/>
    <mergeCell ref="B130:F130"/>
    <mergeCell ref="B131:F131"/>
    <mergeCell ref="B94:F94"/>
    <mergeCell ref="B95:F95"/>
    <mergeCell ref="B96:F96"/>
    <mergeCell ref="B73:F73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A146:F1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4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9.57421875" style="39" customWidth="1"/>
    <col min="2" max="2" width="17.421875" style="39" customWidth="1"/>
    <col min="3" max="4" width="19.28125" style="39" customWidth="1"/>
    <col min="5" max="5" width="20.421875" style="39" customWidth="1"/>
    <col min="6" max="6" width="18.00390625" style="39" customWidth="1"/>
    <col min="7" max="7" width="13.7109375" style="39" customWidth="1"/>
    <col min="8" max="8" width="11.421875" style="39" customWidth="1"/>
    <col min="9" max="9" width="16.57421875" style="39" customWidth="1"/>
    <col min="10" max="16384" width="9.140625" style="39" customWidth="1"/>
  </cols>
  <sheetData>
    <row r="1" spans="1:9" s="13" customFormat="1" ht="18.75">
      <c r="A1" s="266" t="s">
        <v>157</v>
      </c>
      <c r="B1" s="266"/>
      <c r="C1" s="266"/>
      <c r="D1" s="266"/>
      <c r="E1" s="266"/>
      <c r="F1" s="266"/>
      <c r="G1" s="266"/>
      <c r="H1" s="153"/>
      <c r="I1" s="153"/>
    </row>
    <row r="2" spans="1:9" s="13" customFormat="1" ht="18.75" customHeight="1">
      <c r="A2" s="196" t="s">
        <v>192</v>
      </c>
      <c r="B2" s="196"/>
      <c r="C2" s="196"/>
      <c r="D2" s="196"/>
      <c r="E2" s="196"/>
      <c r="F2" s="196"/>
      <c r="G2" s="196"/>
      <c r="H2" s="153"/>
      <c r="I2" s="153"/>
    </row>
    <row r="3" spans="1:9" s="13" customFormat="1" ht="18.75">
      <c r="A3" s="267" t="s">
        <v>207</v>
      </c>
      <c r="B3" s="267"/>
      <c r="C3" s="267"/>
      <c r="D3" s="267"/>
      <c r="E3" s="267"/>
      <c r="F3" s="267"/>
      <c r="G3" s="267"/>
      <c r="H3" s="153"/>
      <c r="I3" s="153"/>
    </row>
    <row r="4" spans="1:7" ht="26.25" customHeight="1">
      <c r="A4" s="40"/>
      <c r="B4" s="40"/>
      <c r="C4" s="268"/>
      <c r="D4" s="269"/>
      <c r="E4" s="269"/>
      <c r="F4" s="269"/>
      <c r="G4" s="264" t="s">
        <v>0</v>
      </c>
    </row>
    <row r="5" spans="1:7" ht="81" customHeight="1">
      <c r="A5" s="40" t="s">
        <v>4</v>
      </c>
      <c r="B5" s="79" t="s">
        <v>2</v>
      </c>
      <c r="C5" s="155" t="str">
        <f>'Комплектование групп'!B7</f>
        <v>Кружок «Предшкольная подготовка»</v>
      </c>
      <c r="D5" s="155" t="str">
        <f>'Комплектование групп'!B8</f>
        <v>Кружок "Испанский язык."</v>
      </c>
      <c r="E5" s="155" t="str">
        <f>'Комплектование групп'!B9</f>
        <v>Кружок "Черлидинг" </v>
      </c>
      <c r="F5" s="32" t="str">
        <f>'Комплектование групп'!B10</f>
        <v>Кружок "Родительский клуб «Навстречу друг к другу»."</v>
      </c>
      <c r="G5" s="265"/>
    </row>
    <row r="6" spans="1:7" ht="19.5" customHeight="1">
      <c r="A6" s="41" t="s">
        <v>16</v>
      </c>
      <c r="B6" s="80">
        <v>1</v>
      </c>
      <c r="C6" s="42">
        <f>SUM(C7:C11)</f>
        <v>84496.59</v>
      </c>
      <c r="D6" s="42">
        <f>SUM(D7:D11)</f>
        <v>115626.59</v>
      </c>
      <c r="E6" s="42">
        <f>SUM(E7:E11)</f>
        <v>90528.72</v>
      </c>
      <c r="F6" s="42">
        <f>SUM(F7:F11)</f>
        <v>84226.59</v>
      </c>
      <c r="G6" s="42">
        <f>SUM(G7:G11)</f>
        <v>374878.49</v>
      </c>
    </row>
    <row r="7" spans="1:7" ht="42.75" customHeight="1">
      <c r="A7" s="43" t="s">
        <v>17</v>
      </c>
      <c r="B7" s="81">
        <v>2</v>
      </c>
      <c r="C7" s="40">
        <f>'нагрузка,ФОТ'!L8</f>
        <v>30712.5</v>
      </c>
      <c r="D7" s="40">
        <f>'нагрузка,ФОТ'!L9</f>
        <v>30712.5</v>
      </c>
      <c r="E7" s="40">
        <f>'нагрузка,ФОТ'!L10</f>
        <v>61425</v>
      </c>
      <c r="F7" s="40">
        <f>'нагрузка,ФОТ'!L11</f>
        <v>30712.5</v>
      </c>
      <c r="G7" s="40">
        <f aca="true" t="shared" si="0" ref="G7:G12">C7+D7+E7+F7</f>
        <v>153562.5</v>
      </c>
    </row>
    <row r="8" spans="1:7" ht="66.75" customHeight="1">
      <c r="A8" s="43" t="s">
        <v>131</v>
      </c>
      <c r="B8" s="84" t="s">
        <v>242</v>
      </c>
      <c r="C8" s="40">
        <f>C7/263.7*42</f>
        <v>4891.64</v>
      </c>
      <c r="D8" s="40">
        <f>D7/263.7*42</f>
        <v>4891.64</v>
      </c>
      <c r="E8" s="40">
        <f>E7/263.7*31.5</f>
        <v>7337.46</v>
      </c>
      <c r="F8" s="40">
        <f>F7/263.7*42</f>
        <v>4891.64</v>
      </c>
      <c r="G8" s="40">
        <f t="shared" si="0"/>
        <v>22012.38</v>
      </c>
    </row>
    <row r="9" spans="1:7" ht="24.75" customHeight="1">
      <c r="A9" s="43" t="s">
        <v>84</v>
      </c>
      <c r="B9" s="81">
        <v>3</v>
      </c>
      <c r="C9" s="40">
        <f>(C7+C8)*0.302</f>
        <v>10752.45</v>
      </c>
      <c r="D9" s="40">
        <f>(D7+D8)*0.302</f>
        <v>10752.45</v>
      </c>
      <c r="E9" s="40">
        <f>(E7+E8)*0.302</f>
        <v>20766.26</v>
      </c>
      <c r="F9" s="40">
        <f>(F7+F8)*0.302</f>
        <v>10752.45</v>
      </c>
      <c r="G9" s="40">
        <f t="shared" si="0"/>
        <v>53023.61</v>
      </c>
    </row>
    <row r="10" spans="1:7" ht="32.25" customHeight="1">
      <c r="A10" s="43" t="s">
        <v>25</v>
      </c>
      <c r="B10" s="81">
        <v>4</v>
      </c>
      <c r="C10" s="40">
        <f>'расходные материалы'!J21</f>
        <v>38140</v>
      </c>
      <c r="D10" s="40">
        <f>'расходные материалы'!J53</f>
        <v>69270</v>
      </c>
      <c r="E10" s="40">
        <f>'расходные материалы'!J115</f>
        <v>1000</v>
      </c>
      <c r="F10" s="40">
        <f>'расходные материалы'!J146</f>
        <v>37870</v>
      </c>
      <c r="G10" s="40">
        <f t="shared" si="0"/>
        <v>146280</v>
      </c>
    </row>
    <row r="11" spans="1:7" ht="32.25" customHeight="1">
      <c r="A11" s="43" t="s">
        <v>181</v>
      </c>
      <c r="B11" s="81"/>
      <c r="C11" s="40"/>
      <c r="D11" s="40"/>
      <c r="E11" s="40"/>
      <c r="F11" s="40"/>
      <c r="G11" s="40">
        <f t="shared" si="0"/>
        <v>0</v>
      </c>
    </row>
    <row r="12" spans="1:7" ht="27" customHeight="1">
      <c r="A12" s="41" t="s">
        <v>18</v>
      </c>
      <c r="B12" s="80">
        <v>5</v>
      </c>
      <c r="C12" s="42">
        <f>C13+C14+C15+C16+C21+C22+C23</f>
        <v>9433.04</v>
      </c>
      <c r="D12" s="42">
        <f>D13+D14+D15+D16+D21+D22+D23</f>
        <v>9433.04</v>
      </c>
      <c r="E12" s="42">
        <f>E13+E14+E15+E16+E21+E22+E23</f>
        <v>10730.09</v>
      </c>
      <c r="F12" s="42">
        <f>F13+F14+F15+F16+F21+F22+F23</f>
        <v>9442.04</v>
      </c>
      <c r="G12" s="42">
        <f t="shared" si="0"/>
        <v>39038.21</v>
      </c>
    </row>
    <row r="13" spans="1:7" ht="91.5" customHeight="1">
      <c r="A13" s="41" t="s">
        <v>217</v>
      </c>
      <c r="B13" s="85" t="s">
        <v>73</v>
      </c>
      <c r="C13" s="40">
        <f>G13/'нагрузка,ФОТ'!G12*'нагрузка,ФОТ'!G8</f>
        <v>2111.4</v>
      </c>
      <c r="D13" s="40">
        <f>G13/'нагрузка,ФОТ'!G12*'нагрузка,ФОТ'!G9</f>
        <v>2111.4</v>
      </c>
      <c r="E13" s="40">
        <f>G13/'нагрузка,ФОТ'!G12*'нагрузка,ФОТ'!G10</f>
        <v>4222.8</v>
      </c>
      <c r="F13" s="40">
        <f>G13/'нагрузка,ФОТ'!G12*'нагрузка,ФОТ'!G11</f>
        <v>2111.4</v>
      </c>
      <c r="G13" s="42">
        <f>'з.плата АУП'!J9</f>
        <v>10557</v>
      </c>
    </row>
    <row r="14" spans="1:7" ht="45.75" customHeight="1">
      <c r="A14" s="43" t="s">
        <v>19</v>
      </c>
      <c r="B14" s="81">
        <v>7</v>
      </c>
      <c r="C14" s="40">
        <v>0</v>
      </c>
      <c r="D14" s="40">
        <v>0</v>
      </c>
      <c r="E14" s="40">
        <f>G14/'нагрузка,ФОТ'!G12*'нагрузка,ФОТ'!G8</f>
        <v>0</v>
      </c>
      <c r="F14" s="40">
        <v>0</v>
      </c>
      <c r="G14" s="40">
        <f>'з.плата АУП'!J19</f>
        <v>0</v>
      </c>
    </row>
    <row r="15" spans="1:7" ht="24" customHeight="1">
      <c r="A15" s="43" t="s">
        <v>85</v>
      </c>
      <c r="B15" s="81">
        <v>8</v>
      </c>
      <c r="C15" s="40">
        <f>(C14+C13)*0.302</f>
        <v>637.64</v>
      </c>
      <c r="D15" s="40">
        <f>(D14+D13)*0.302</f>
        <v>637.64</v>
      </c>
      <c r="E15" s="40">
        <f>(E14+E13)*0.302</f>
        <v>1275.29</v>
      </c>
      <c r="F15" s="40">
        <f>(F14+F13)*0.302</f>
        <v>637.64</v>
      </c>
      <c r="G15" s="40">
        <f>(G14+G13)*0.302</f>
        <v>3188.21</v>
      </c>
    </row>
    <row r="16" spans="1:7" ht="83.25" customHeight="1">
      <c r="A16" s="43" t="s">
        <v>123</v>
      </c>
      <c r="B16" s="84" t="s">
        <v>71</v>
      </c>
      <c r="C16" s="40">
        <f>('канализация ЖБО'!H21+электроснабжение!H21+отопление!H21+водоснабжение!H21)*'Комплектование групп'!C7*'нагрузка,ФОТ'!G8</f>
        <v>6684</v>
      </c>
      <c r="D16" s="40">
        <f>('канализация ЖБО'!H21+электроснабжение!H21+отопление!H21+водоснабжение!H21)*'Комплектование групп'!C8*'нагрузка,ФОТ'!G9</f>
        <v>6684</v>
      </c>
      <c r="E16" s="40">
        <f>('канализация ЖБО'!H22+электроснабжение!H22+отопление!H22+водоснабжение!H22)*'Комплектование групп'!C9*'нагрузка,ФОТ'!G10</f>
        <v>5232</v>
      </c>
      <c r="F16" s="40">
        <f>('канализация ЖБО'!H23+электроснабжение!H23+отопление!H23+водоснабжение!H23)*'Комплектование групп'!C10*'нагрузка,ФОТ'!G11</f>
        <v>6693</v>
      </c>
      <c r="G16" s="40">
        <f aca="true" t="shared" si="1" ref="G16:G22">C16+D16+E16+F16</f>
        <v>25293</v>
      </c>
    </row>
    <row r="17" spans="1:7" s="115" customFormat="1" ht="15" customHeight="1">
      <c r="A17" s="113" t="s">
        <v>53</v>
      </c>
      <c r="B17" s="84"/>
      <c r="C17" s="114">
        <f>отопление!H21*'Комплектование групп'!C7*'нагрузка,ФОТ'!G8</f>
        <v>3534</v>
      </c>
      <c r="D17" s="114">
        <f>отопление!H21*'Комплектование групп'!C8*'нагрузка,ФОТ'!G9</f>
        <v>3534</v>
      </c>
      <c r="E17" s="114">
        <f>отопление!H22*'Комплектование групп'!C9*'нагрузка,ФОТ'!G10</f>
        <v>2766</v>
      </c>
      <c r="F17" s="114">
        <f>отопление!H23*'Комплектование групп'!C10*'нагрузка,ФОТ'!G11</f>
        <v>3540</v>
      </c>
      <c r="G17" s="40">
        <f t="shared" si="1"/>
        <v>13374</v>
      </c>
    </row>
    <row r="18" spans="1:7" s="115" customFormat="1" ht="17.25" customHeight="1">
      <c r="A18" s="113" t="s">
        <v>89</v>
      </c>
      <c r="B18" s="84"/>
      <c r="C18" s="114">
        <f>электроснабжение!H21*'Комплектование групп'!C7*'нагрузка,ФОТ'!G8</f>
        <v>2583</v>
      </c>
      <c r="D18" s="114">
        <f>электроснабжение!H21*'Комплектование групп'!C8*'нагрузка,ФОТ'!G9</f>
        <v>2583</v>
      </c>
      <c r="E18" s="114">
        <f>электроснабжение!H22*'Комплектование групп'!C9*'нагрузка,ФОТ'!G10</f>
        <v>2025</v>
      </c>
      <c r="F18" s="114">
        <f>электроснабжение!H23*'Комплектование групп'!C10*'нагрузка,ФОТ'!G11</f>
        <v>2586</v>
      </c>
      <c r="G18" s="40">
        <f t="shared" si="1"/>
        <v>9777</v>
      </c>
    </row>
    <row r="19" spans="1:7" s="115" customFormat="1" ht="16.5" customHeight="1">
      <c r="A19" s="113" t="s">
        <v>90</v>
      </c>
      <c r="B19" s="84"/>
      <c r="C19" s="114">
        <f>водоснабжение!H21*'Комплектование групп'!C7*'нагрузка,ФОТ'!G8</f>
        <v>207</v>
      </c>
      <c r="D19" s="114">
        <f>водоснабжение!H21*'Комплектование групп'!C8*'нагрузка,ФОТ'!G9</f>
        <v>207</v>
      </c>
      <c r="E19" s="114">
        <f>водоснабжение!H22*'Комплектование групп'!C9*'нагрузка,ФОТ'!G10</f>
        <v>162</v>
      </c>
      <c r="F19" s="114">
        <f>водоснабжение!H23*'Комплектование групп'!C10*'нагрузка,ФОТ'!G11</f>
        <v>207</v>
      </c>
      <c r="G19" s="40">
        <f t="shared" si="1"/>
        <v>783</v>
      </c>
    </row>
    <row r="20" spans="1:7" s="115" customFormat="1" ht="15.75" customHeight="1">
      <c r="A20" s="113" t="s">
        <v>91</v>
      </c>
      <c r="B20" s="84"/>
      <c r="C20" s="114">
        <f>'канализация ЖБО'!H21*'Комплектование групп'!C7*'нагрузка,ФОТ'!G8</f>
        <v>360</v>
      </c>
      <c r="D20" s="114">
        <f>'канализация ЖБО'!H21*'Комплектование групп'!C8*'нагрузка,ФОТ'!G9</f>
        <v>360</v>
      </c>
      <c r="E20" s="114">
        <f>'канализация ЖБО'!H22*'Комплектование групп'!C9*'нагрузка,ФОТ'!G10</f>
        <v>279</v>
      </c>
      <c r="F20" s="114">
        <f>'канализация ЖБО'!H23*'Комплектование групп'!C10*'нагрузка,ФОТ'!G11</f>
        <v>360</v>
      </c>
      <c r="G20" s="40">
        <f t="shared" si="1"/>
        <v>1359</v>
      </c>
    </row>
    <row r="21" spans="1:7" ht="35.25" customHeight="1">
      <c r="A21" s="43" t="s">
        <v>25</v>
      </c>
      <c r="B21" s="81">
        <v>10</v>
      </c>
      <c r="C21" s="40">
        <v>0</v>
      </c>
      <c r="D21" s="40">
        <v>0</v>
      </c>
      <c r="E21" s="40">
        <v>0</v>
      </c>
      <c r="F21" s="40">
        <v>0</v>
      </c>
      <c r="G21" s="40">
        <f t="shared" si="1"/>
        <v>0</v>
      </c>
    </row>
    <row r="22" spans="1:7" ht="35.25" customHeight="1">
      <c r="A22" s="43" t="s">
        <v>61</v>
      </c>
      <c r="B22" s="81">
        <v>11</v>
      </c>
      <c r="C22" s="40">
        <v>0</v>
      </c>
      <c r="D22" s="40">
        <v>0</v>
      </c>
      <c r="E22" s="40">
        <v>0</v>
      </c>
      <c r="F22" s="40">
        <v>0</v>
      </c>
      <c r="G22" s="40">
        <f t="shared" si="1"/>
        <v>0</v>
      </c>
    </row>
    <row r="23" spans="1:7" ht="25.5" customHeight="1">
      <c r="A23" s="44" t="s">
        <v>40</v>
      </c>
      <c r="B23" s="82">
        <v>12</v>
      </c>
      <c r="C23" s="40"/>
      <c r="D23" s="40"/>
      <c r="E23" s="40"/>
      <c r="F23" s="40"/>
      <c r="G23" s="40"/>
    </row>
    <row r="24" spans="1:7" ht="36.75" customHeight="1">
      <c r="A24" s="41" t="s">
        <v>35</v>
      </c>
      <c r="B24" s="80" t="s">
        <v>67</v>
      </c>
      <c r="C24" s="42">
        <f>C12+C6</f>
        <v>93929.63</v>
      </c>
      <c r="D24" s="42">
        <f>D12+D6</f>
        <v>125059.63</v>
      </c>
      <c r="E24" s="42">
        <f>E12+E6</f>
        <v>101258.81</v>
      </c>
      <c r="F24" s="42">
        <f>F12+F6</f>
        <v>93668.63</v>
      </c>
      <c r="G24" s="42">
        <f>C24+D24+E24+F24</f>
        <v>413916.7</v>
      </c>
    </row>
    <row r="25" spans="1:7" ht="39" customHeight="1">
      <c r="A25" s="45" t="s">
        <v>87</v>
      </c>
      <c r="B25" s="81">
        <v>14</v>
      </c>
      <c r="C25" s="46">
        <v>0.15</v>
      </c>
      <c r="D25" s="46">
        <v>0.15</v>
      </c>
      <c r="E25" s="46">
        <v>0.07</v>
      </c>
      <c r="F25" s="46">
        <v>0.15</v>
      </c>
      <c r="G25" s="40" t="s">
        <v>34</v>
      </c>
    </row>
    <row r="26" spans="1:7" ht="44.25" customHeight="1">
      <c r="A26" s="47" t="s">
        <v>66</v>
      </c>
      <c r="B26" s="80" t="s">
        <v>126</v>
      </c>
      <c r="C26" s="42">
        <f>C24*C25</f>
        <v>14089.44</v>
      </c>
      <c r="D26" s="42">
        <f>D24*D25</f>
        <v>18758.94</v>
      </c>
      <c r="E26" s="42">
        <f>E24*E25</f>
        <v>7088.12</v>
      </c>
      <c r="F26" s="42">
        <f>F24*F25</f>
        <v>14050.29</v>
      </c>
      <c r="G26" s="42">
        <f>C26+D26+E26+F26</f>
        <v>53986.79</v>
      </c>
    </row>
    <row r="27" spans="1:7" ht="25.5" customHeight="1">
      <c r="A27" s="47" t="s">
        <v>36</v>
      </c>
      <c r="B27" s="80" t="s">
        <v>68</v>
      </c>
      <c r="C27" s="42">
        <f>C24+C26</f>
        <v>108019.07</v>
      </c>
      <c r="D27" s="42">
        <f>D24+D26</f>
        <v>143818.57</v>
      </c>
      <c r="E27" s="42">
        <f>E24+E26</f>
        <v>108346.93</v>
      </c>
      <c r="F27" s="42">
        <f>F24+F26</f>
        <v>107718.92</v>
      </c>
      <c r="G27" s="42">
        <f>C27+D27+E27+F27</f>
        <v>467903.49</v>
      </c>
    </row>
    <row r="28" spans="1:7" ht="59.25" customHeight="1">
      <c r="A28" s="43" t="s">
        <v>37</v>
      </c>
      <c r="B28" s="84" t="s">
        <v>163</v>
      </c>
      <c r="C28" s="40">
        <f>'нагрузка,ФОТ'!G8*'Комплектование групп'!C7</f>
        <v>300</v>
      </c>
      <c r="D28" s="40">
        <f>'нагрузка,ФОТ'!G9*'Комплектование групп'!C8</f>
        <v>300</v>
      </c>
      <c r="E28" s="40">
        <f>'нагрузка,ФОТ'!G10*'Комплектование групп'!C9</f>
        <v>300</v>
      </c>
      <c r="F28" s="40">
        <f>'нагрузка,ФОТ'!G11*'Комплектование групп'!C10</f>
        <v>300</v>
      </c>
      <c r="G28" s="42">
        <f>C28+D28+E28+F28</f>
        <v>1200</v>
      </c>
    </row>
    <row r="29" spans="1:7" ht="21.75" customHeight="1">
      <c r="A29" s="41" t="s">
        <v>20</v>
      </c>
      <c r="B29" s="80" t="s">
        <v>69</v>
      </c>
      <c r="C29" s="42">
        <f>C27/C28</f>
        <v>360.06</v>
      </c>
      <c r="D29" s="42">
        <f>D27/D28</f>
        <v>479.4</v>
      </c>
      <c r="E29" s="42">
        <f>E27/E28</f>
        <v>361.16</v>
      </c>
      <c r="F29" s="42">
        <f>F27/F28</f>
        <v>359.06</v>
      </c>
      <c r="G29" s="42" t="s">
        <v>34</v>
      </c>
    </row>
    <row r="30" spans="1:7" ht="74.25" customHeight="1">
      <c r="A30" s="41" t="s">
        <v>62</v>
      </c>
      <c r="B30" s="85" t="s">
        <v>70</v>
      </c>
      <c r="C30" s="42">
        <f>C29/60*25</f>
        <v>150.03</v>
      </c>
      <c r="D30" s="42">
        <f>D29/60*25</f>
        <v>199.75</v>
      </c>
      <c r="E30" s="42">
        <f>E29/60*25</f>
        <v>150.48</v>
      </c>
      <c r="F30" s="42">
        <f>F29/60*25</f>
        <v>149.61</v>
      </c>
      <c r="G30" s="42"/>
    </row>
    <row r="31" ht="15.75">
      <c r="B31" s="83"/>
    </row>
    <row r="32" spans="1:7" ht="31.5">
      <c r="A32" s="43" t="s">
        <v>124</v>
      </c>
      <c r="B32" s="81"/>
      <c r="C32" s="40">
        <f>C13/C28</f>
        <v>7.04</v>
      </c>
      <c r="D32" s="40">
        <f>D13/D28</f>
        <v>7.04</v>
      </c>
      <c r="E32" s="40">
        <f>E13/E28</f>
        <v>14.08</v>
      </c>
      <c r="F32" s="40">
        <f>F13/F28</f>
        <v>7.04</v>
      </c>
      <c r="G32" s="40"/>
    </row>
    <row r="33" spans="1:7" ht="63">
      <c r="A33" s="43" t="s">
        <v>125</v>
      </c>
      <c r="B33" s="40"/>
      <c r="C33" s="40">
        <f>C7/C28/60*25</f>
        <v>42.66</v>
      </c>
      <c r="D33" s="40">
        <f>D7/D28/60*25</f>
        <v>42.66</v>
      </c>
      <c r="E33" s="40">
        <f>E7/E28/60*25</f>
        <v>85.31</v>
      </c>
      <c r="F33" s="40">
        <f>F7/F28/60*25</f>
        <v>42.66</v>
      </c>
      <c r="G33" s="40"/>
    </row>
    <row r="34" spans="1:6" s="13" customFormat="1" ht="21" customHeight="1">
      <c r="A34" s="169" t="s">
        <v>127</v>
      </c>
      <c r="B34" s="156">
        <f>G24</f>
        <v>413916.7</v>
      </c>
      <c r="C34" s="157">
        <v>1</v>
      </c>
      <c r="D34" s="157"/>
      <c r="F34" s="88"/>
    </row>
    <row r="35" spans="1:4" s="13" customFormat="1" ht="12.75">
      <c r="A35" s="169" t="s">
        <v>128</v>
      </c>
      <c r="B35" s="156">
        <f>G7+G8+G9+G13+G14+G15</f>
        <v>242343.7</v>
      </c>
      <c r="C35" s="158">
        <f>B35/B34*100</f>
        <v>58.5</v>
      </c>
      <c r="D35" s="158"/>
    </row>
    <row r="36" spans="1:4" s="13" customFormat="1" ht="12.75">
      <c r="A36" s="169" t="s">
        <v>129</v>
      </c>
      <c r="B36" s="156">
        <f>G16</f>
        <v>25293</v>
      </c>
      <c r="C36" s="158">
        <f>B36/B34*100</f>
        <v>6.1</v>
      </c>
      <c r="D36" s="158"/>
    </row>
    <row r="37" spans="1:4" s="13" customFormat="1" ht="12.75">
      <c r="A37" s="169" t="s">
        <v>130</v>
      </c>
      <c r="B37" s="156">
        <f>G10</f>
        <v>146280</v>
      </c>
      <c r="C37" s="158">
        <f>B37/B34*100</f>
        <v>35.3</v>
      </c>
      <c r="D37" s="158"/>
    </row>
    <row r="38" spans="1:3" s="13" customFormat="1" ht="18.75" customHeight="1">
      <c r="A38" s="169" t="s">
        <v>156</v>
      </c>
      <c r="B38" s="156">
        <f>G26</f>
        <v>53986.79</v>
      </c>
      <c r="C38" s="158">
        <f>B38/B34*100</f>
        <v>13</v>
      </c>
    </row>
    <row r="39" s="13" customFormat="1" ht="14.25" customHeight="1">
      <c r="B39" s="21"/>
    </row>
    <row r="41" spans="1:9" ht="15.75">
      <c r="A41" s="153" t="s">
        <v>197</v>
      </c>
      <c r="B41" s="21"/>
      <c r="C41" s="13"/>
      <c r="D41" s="13"/>
      <c r="E41" s="103"/>
      <c r="F41" s="153" t="s">
        <v>198</v>
      </c>
      <c r="G41" s="103"/>
      <c r="I41" s="103"/>
    </row>
  </sheetData>
  <sheetProtection/>
  <mergeCells count="5">
    <mergeCell ref="G4:G5"/>
    <mergeCell ref="A1:G1"/>
    <mergeCell ref="A2:G2"/>
    <mergeCell ref="A3:G3"/>
    <mergeCell ref="C4:F4"/>
  </mergeCells>
  <printOptions horizontalCentered="1"/>
  <pageMargins left="0.5511811023622047" right="0.3937007874015748" top="0.7874015748031497" bottom="0.2755905511811024" header="0.1968503937007874" footer="0.5118110236220472"/>
  <pageSetup fitToHeight="2" fitToWidth="1"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SNAdmin</cp:lastModifiedBy>
  <cp:lastPrinted>2021-09-22T16:43:56Z</cp:lastPrinted>
  <dcterms:created xsi:type="dcterms:W3CDTF">1996-10-08T23:32:33Z</dcterms:created>
  <dcterms:modified xsi:type="dcterms:W3CDTF">2023-01-18T07:16:45Z</dcterms:modified>
  <cp:category/>
  <cp:version/>
  <cp:contentType/>
  <cp:contentStatus/>
</cp:coreProperties>
</file>