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52" firstSheet="2" activeTab="2"/>
  </bookViews>
  <sheets>
    <sheet name="Комплектование групп" sheetId="1" r:id="rId1"/>
    <sheet name="нагрузка,ФОТ" sheetId="2" r:id="rId2"/>
    <sheet name="з.плата АУП" sheetId="3" r:id="rId3"/>
    <sheet name="канализация ЖБО" sheetId="4" r:id="rId4"/>
    <sheet name="электроснабжение" sheetId="5" r:id="rId5"/>
    <sheet name="отопление" sheetId="6" r:id="rId6"/>
    <sheet name="водоснабжение" sheetId="7" r:id="rId7"/>
    <sheet name="расходные материалы" sheetId="8" r:id="rId8"/>
    <sheet name="Калькуляция" sheetId="9" r:id="rId9"/>
    <sheet name="штатное рассписание" sheetId="10" r:id="rId10"/>
    <sheet name="Тарифы" sheetId="11" r:id="rId11"/>
    <sheet name="Расчет амортизации" sheetId="12" r:id="rId12"/>
  </sheets>
  <definedNames>
    <definedName name="_xlnm.Print_Area" localSheetId="6">'водоснабжение'!$A$1:$H$23</definedName>
    <definedName name="_xlnm.Print_Area" localSheetId="0">'Комплектование групп'!$A$1:$F$36</definedName>
  </definedNames>
  <calcPr fullCalcOnLoad="1" fullPrecision="0"/>
</workbook>
</file>

<file path=xl/comments2.xml><?xml version="1.0" encoding="utf-8"?>
<comments xmlns="http://schemas.openxmlformats.org/spreadsheetml/2006/main">
  <authors>
    <author>Б</author>
  </authors>
  <commentList>
    <comment ref="A2" authorId="0">
      <text>
        <r>
          <rPr>
            <b/>
            <sz val="10"/>
            <rFont val="Tahoma"/>
            <family val="2"/>
          </rPr>
          <t>действующий на момент расчета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5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H18" authorId="0">
      <text>
        <r>
          <rPr>
            <b/>
            <sz val="10"/>
            <rFont val="Tahoma"/>
            <family val="2"/>
          </rPr>
          <t>Пользователь:</t>
        </r>
        <r>
          <rPr>
            <sz val="10"/>
            <rFont val="Tahoma"/>
            <family val="2"/>
          </rPr>
          <t xml:space="preserve">
сумму часов по учебному плану делим на 9 месяцев</t>
        </r>
      </text>
    </comment>
  </commentList>
</comments>
</file>

<file path=xl/sharedStrings.xml><?xml version="1.0" encoding="utf-8"?>
<sst xmlns="http://schemas.openxmlformats.org/spreadsheetml/2006/main" count="327" uniqueCount="219">
  <si>
    <t>Итого</t>
  </si>
  <si>
    <t xml:space="preserve"> </t>
  </si>
  <si>
    <t>№ п/п</t>
  </si>
  <si>
    <t>Всего</t>
  </si>
  <si>
    <t>Вид затрат и статьи расходов</t>
  </si>
  <si>
    <t>Наименование должности</t>
  </si>
  <si>
    <t>Количество штатных единиц</t>
  </si>
  <si>
    <t>Коэффицент группы персонала</t>
  </si>
  <si>
    <t>Оклад (должностной оклад), ставка заработной платы с учетом коэффициента группы персонала</t>
  </si>
  <si>
    <t>итого по учебно-вспомогательному персоналу</t>
  </si>
  <si>
    <t>итого по младшему обслуживающему</t>
  </si>
  <si>
    <t xml:space="preserve"> учебно-вспомогательный персонал</t>
  </si>
  <si>
    <t>ИТОГО</t>
  </si>
  <si>
    <t xml:space="preserve">всего  часов в неделю </t>
  </si>
  <si>
    <t>оклад (ставка * коэффициент по приказу)</t>
  </si>
  <si>
    <t>Наименование  услуги</t>
  </si>
  <si>
    <t>ПРЯМЫЕ ЗАТРАТЫ</t>
  </si>
  <si>
    <t xml:space="preserve">Заработная плата педагогического персонала </t>
  </si>
  <si>
    <t>КОСВЕННЫЕ ЗАТРАТЫ</t>
  </si>
  <si>
    <t>Заработная плата административно-управленческого и обслуживающего персонала</t>
  </si>
  <si>
    <t>Тариф 1 чел/час (без НДС)</t>
  </si>
  <si>
    <t>Ед-ца изм.</t>
  </si>
  <si>
    <t>младший обслужививающий персонал</t>
  </si>
  <si>
    <t>административно-управленческий персонал</t>
  </si>
  <si>
    <t>Сумма, руб.</t>
  </si>
  <si>
    <t>Увеличение стоимости материальных запасов</t>
  </si>
  <si>
    <t>Кол-во групп</t>
  </si>
  <si>
    <t>прожиточный минимум трудоспособного населения</t>
  </si>
  <si>
    <t>часов в неделю на 1 группу</t>
  </si>
  <si>
    <t>Всего оплата в месяц</t>
  </si>
  <si>
    <t>Электроснабжение</t>
  </si>
  <si>
    <t>1 группа (чел.)</t>
  </si>
  <si>
    <t>Кол-во обуч.</t>
  </si>
  <si>
    <t>Наименование услуги</t>
  </si>
  <si>
    <t>*</t>
  </si>
  <si>
    <t>Себестоимость</t>
  </si>
  <si>
    <t>Стоимость с рентабельностью</t>
  </si>
  <si>
    <t>Планируемое кол-во человеко-часов</t>
  </si>
  <si>
    <t>Наименование (вид) услуги</t>
  </si>
  <si>
    <t>Тариф, руб. (без НДС)</t>
  </si>
  <si>
    <t xml:space="preserve">Прочие расходы </t>
  </si>
  <si>
    <t>стоимость одного часа</t>
  </si>
  <si>
    <t xml:space="preserve">всего з/пл. за всю программу </t>
  </si>
  <si>
    <t>кол-во уч недель</t>
  </si>
  <si>
    <t>образовательные услуги</t>
  </si>
  <si>
    <t>Заработная плата за весь период</t>
  </si>
  <si>
    <t xml:space="preserve">Процент от должностного оклада </t>
  </si>
  <si>
    <t>Единица платной услуги</t>
  </si>
  <si>
    <t>итого АУП</t>
  </si>
  <si>
    <t>ВСЕГО</t>
  </si>
  <si>
    <t>Период оказания услуг          (в месяцах)</t>
  </si>
  <si>
    <t xml:space="preserve">Природный газ </t>
  </si>
  <si>
    <t>Транспортировка газа</t>
  </si>
  <si>
    <t>Отопление</t>
  </si>
  <si>
    <t>руб</t>
  </si>
  <si>
    <t>Площадь здания</t>
  </si>
  <si>
    <t>стоимость содержания одного квадратного метра площади здания в месяц</t>
  </si>
  <si>
    <t>Площадь помещения</t>
  </si>
  <si>
    <t>Количество детей, пользующихся основной образовательной услугой</t>
  </si>
  <si>
    <t>Количество детей, занимающихся в платной группе</t>
  </si>
  <si>
    <t>Стоимость затрат на одного ребенка</t>
  </si>
  <si>
    <t>Прочие услуги (0,3 % за обслуживание пластиковых карт)</t>
  </si>
  <si>
    <t xml:space="preserve">Тариф 1 занятия </t>
  </si>
  <si>
    <t>9=8/7</t>
  </si>
  <si>
    <t>надбавка  за категорию сада</t>
  </si>
  <si>
    <t xml:space="preserve">кол-во часов освоения учебной программы в год  </t>
  </si>
  <si>
    <t>Прибыль от платной деятельности, руб.</t>
  </si>
  <si>
    <t>13 =1+5</t>
  </si>
  <si>
    <t>16=15+14</t>
  </si>
  <si>
    <t>18=16/17</t>
  </si>
  <si>
    <t>19 = 18стр*продолжительность знятия с учебного плана / 60 мин)</t>
  </si>
  <si>
    <t>9=стоимость одного педагогического часа педагога за одного ребенка * кол - во детей в группе*кол - во часов по учебной программе</t>
  </si>
  <si>
    <t>Должность</t>
  </si>
  <si>
    <t>6= зарп АУП за по учебной программе/педнагрузку по всем программам *кол - во часов по данной программе</t>
  </si>
  <si>
    <t>11=(9+10)*6</t>
  </si>
  <si>
    <t>УТВЕРЖДЕНО</t>
  </si>
  <si>
    <t>СОГЛАСОВАНО</t>
  </si>
  <si>
    <t>Начальник управления образования</t>
  </si>
  <si>
    <t>администрации муниципального образования</t>
  </si>
  <si>
    <t>Выселковский район</t>
  </si>
  <si>
    <t>"_____" ____________ 20__г.</t>
  </si>
  <si>
    <t>7 = 18часов *247/5дн/12 мес</t>
  </si>
  <si>
    <t>Канализация,ЖБО</t>
  </si>
  <si>
    <t>Водоснабжение</t>
  </si>
  <si>
    <t>Начисления на оплату труда (30,2%)</t>
  </si>
  <si>
    <t>Начисления на оплату труда (30,2 %)</t>
  </si>
  <si>
    <t xml:space="preserve">Рентабельность </t>
  </si>
  <si>
    <t>Минимальный размер оклада , ставки заработной платы</t>
  </si>
  <si>
    <t>электроэнергия</t>
  </si>
  <si>
    <t>водоснабжение</t>
  </si>
  <si>
    <t>канализация ЖБО</t>
  </si>
  <si>
    <t>УТВЕРЖДЕНО:</t>
  </si>
  <si>
    <t>Штат в количестве</t>
  </si>
  <si>
    <t xml:space="preserve">с месячным фондом заработной платы </t>
  </si>
  <si>
    <t xml:space="preserve">                (подпись руководителя)</t>
  </si>
  <si>
    <t xml:space="preserve">ШТАТНОЕ РАСПИСАНИЕ </t>
  </si>
  <si>
    <t>(полное название учреждения)</t>
  </si>
  <si>
    <t>Кол-во штатных единиц</t>
  </si>
  <si>
    <t>Всего в месяц на все ставки</t>
  </si>
  <si>
    <t>за квалификационную категорию</t>
  </si>
  <si>
    <t xml:space="preserve">  Административно-управленческий персонал</t>
  </si>
  <si>
    <t>Итого АУП:</t>
  </si>
  <si>
    <t xml:space="preserve">Педагогический персонал осуществляющий учебный процесс </t>
  </si>
  <si>
    <t>Итого пед.персонал:</t>
  </si>
  <si>
    <t>Прочий пед персонал</t>
  </si>
  <si>
    <t>Итого прочий пед пероснал</t>
  </si>
  <si>
    <t>х</t>
  </si>
  <si>
    <t>Учебно - вспомогательный персонал</t>
  </si>
  <si>
    <t>Итого УВП</t>
  </si>
  <si>
    <t>Младший обслуживающий персонал</t>
  </si>
  <si>
    <t>Итого МОП</t>
  </si>
  <si>
    <t>Руководитель</t>
  </si>
  <si>
    <t>Оклад по основной должности</t>
  </si>
  <si>
    <t>Минимальный размер оклада (величина прожиточного минимума для трудоспособного населения Краснодарского края), ставки заработной платы</t>
  </si>
  <si>
    <t>Коэффициент кратности, величины прожиточного минимума</t>
  </si>
  <si>
    <t xml:space="preserve">Оклад (должностной оклад), ставка заработной платы с учетом коэффициента кратности, величины прожиточного минимума </t>
  </si>
  <si>
    <t xml:space="preserve">стимулирующая выплата </t>
  </si>
  <si>
    <t>за индивидуальное обучение</t>
  </si>
  <si>
    <t>компенсационная выплата</t>
  </si>
  <si>
    <t>на предоставление платных дополнительных образовательных и иных услуг</t>
  </si>
  <si>
    <t>Итого:</t>
  </si>
  <si>
    <r>
      <t xml:space="preserve">Коммунальные услуги                             </t>
    </r>
    <r>
      <rPr>
        <sz val="9"/>
        <rFont val="Times New Roman"/>
        <family val="1"/>
      </rPr>
      <t xml:space="preserve"> в том числе:</t>
    </r>
  </si>
  <si>
    <t>* справочно: Доплата руководителю за одного ребенка =стр 7/стр 17</t>
  </si>
  <si>
    <t>* справочно: зарплата педагогического работника за одного ребенка = стр.2/стр 17/60 мин* продолж занятия</t>
  </si>
  <si>
    <t>15 = 13*14</t>
  </si>
  <si>
    <t>Всего затраты</t>
  </si>
  <si>
    <t>з/п с начислениями</t>
  </si>
  <si>
    <t>комунальные услуги</t>
  </si>
  <si>
    <t>Материальные затраты</t>
  </si>
  <si>
    <t>Компенсация при увольнении</t>
  </si>
  <si>
    <t>Итого (не более 50% от ФОТ ПДО)</t>
  </si>
  <si>
    <t xml:space="preserve">Заведующий МБДОУ ДС №12 </t>
  </si>
  <si>
    <t>С.В. Поботина</t>
  </si>
  <si>
    <t xml:space="preserve">Планируемое количество обучающихся (воспитанников) по платным дополнительным образовательным и иным услугам, оказываемым                             </t>
  </si>
  <si>
    <t xml:space="preserve">Расчет расходов за месяц на коммунальные услуги по платным дополнительным образовательным и иным услугам, оказываемым в </t>
  </si>
  <si>
    <t>Год</t>
  </si>
  <si>
    <t>П Е Р Е Ч Е Н Ь</t>
  </si>
  <si>
    <t xml:space="preserve"> прямых и косвенных материальных затрат по платным дополнительным образовательным и иным услугам                                                   </t>
  </si>
  <si>
    <t>Наименование услуги:</t>
  </si>
  <si>
    <t>Прибыль</t>
  </si>
  <si>
    <t>К А Л Ь К У Л Я Ц И Я</t>
  </si>
  <si>
    <t>от __________________________№__________</t>
  </si>
  <si>
    <t>Приложение №____ к приказу МБДОУ ДС №12</t>
  </si>
  <si>
    <t>СОГЛАСОВАНО:</t>
  </si>
  <si>
    <t xml:space="preserve">предлагаемых к устанавлению тарифов по платным дополнительным образовательным и иным  услугам, оказываемым </t>
  </si>
  <si>
    <t xml:space="preserve">Нагрузка на одного педагога  </t>
  </si>
  <si>
    <t>17 = кол - во часов  по учебной программе час*кол чел в группе</t>
  </si>
  <si>
    <t>Ноутбук</t>
  </si>
  <si>
    <t>наименование</t>
  </si>
  <si>
    <t>кол-во</t>
  </si>
  <si>
    <t>ед.изм.</t>
  </si>
  <si>
    <t>цена</t>
  </si>
  <si>
    <t>сумма</t>
  </si>
  <si>
    <t xml:space="preserve">Годовое количество часов по программе (рабочих) </t>
  </si>
  <si>
    <t>Расчет суммы начисленной амортизации оборудования  используемого при предоставлении</t>
  </si>
  <si>
    <t>Наименование оборудования</t>
  </si>
  <si>
    <t>Балансовая стоимость (руб.)</t>
  </si>
  <si>
    <t>Срок полезного использования оборудования (мес.)</t>
  </si>
  <si>
    <t>Месячная норма износа (%) (100/гр.4)</t>
  </si>
  <si>
    <t>Срок использования оборудования в процессе оказания платной услуги (мес)</t>
  </si>
  <si>
    <t>Сумма начисленной амортизации (руб.) (7=3*5)</t>
  </si>
  <si>
    <t xml:space="preserve">МБДОУ ДС №12                 </t>
  </si>
  <si>
    <t>Расходы на амортизацию основных средств</t>
  </si>
  <si>
    <t>Мультимедийный проектор</t>
  </si>
  <si>
    <t xml:space="preserve"> платной образовательной и иной услуги  на 2019-2020 учебный год </t>
  </si>
  <si>
    <t>8=12298*3</t>
  </si>
  <si>
    <t>_______________________ Л.А. Семина</t>
  </si>
  <si>
    <t>Директор</t>
  </si>
  <si>
    <t>А.А. Андреев</t>
  </si>
  <si>
    <t>Кружок «Предшкольная подготовка»</t>
  </si>
  <si>
    <t xml:space="preserve">МАОУ СОШ № 3 им. С.В.Дубинского ст. Березанской                 </t>
  </si>
  <si>
    <t>Доплата директора</t>
  </si>
  <si>
    <t>Кабинет № 6</t>
  </si>
  <si>
    <t>учитель</t>
  </si>
  <si>
    <t>Среднемесячное количество рабочих часов учитель  (с учебного плана часы в месяц)</t>
  </si>
  <si>
    <t>стоимость 1  педагогического часа учителя, руб. за одного ребенка</t>
  </si>
  <si>
    <t>доплата директору</t>
  </si>
  <si>
    <t xml:space="preserve">Муниципальное автономное общеобразовательное учреждение средняя общеобразовательная школа № 3 имени Семёна Васильевича Дубинского станицы Березанской муниципального образования Выселковский район </t>
  </si>
  <si>
    <t>бумага для офисной техники (белая)</t>
  </si>
  <si>
    <t>пачек</t>
  </si>
  <si>
    <t>карандаши цветные</t>
  </si>
  <si>
    <t>шт.</t>
  </si>
  <si>
    <t>папка для бумаг картонная</t>
  </si>
  <si>
    <t>бумага для офисной техники (цветная)</t>
  </si>
  <si>
    <t>пачки</t>
  </si>
  <si>
    <t>клей-карандаш</t>
  </si>
  <si>
    <t>линейка</t>
  </si>
  <si>
    <t>ластик</t>
  </si>
  <si>
    <t>бумага для записей с липким слоем</t>
  </si>
  <si>
    <t>степлер</t>
  </si>
  <si>
    <t>тетрадь в клетку</t>
  </si>
  <si>
    <t>текстовыделители</t>
  </si>
  <si>
    <t>уп.</t>
  </si>
  <si>
    <t>набор файлов (100шт.)</t>
  </si>
  <si>
    <t>ручка "Пилот" синяя</t>
  </si>
  <si>
    <t>А.А.Андреев</t>
  </si>
  <si>
    <t>(56дн.отп./12мес.*9мес.)=число дней компенсации;(29,3*9мес.)=коф.;комп.=ст.2/коф.*кол.дней</t>
  </si>
  <si>
    <t>Учитель</t>
  </si>
  <si>
    <t>карандаши простые</t>
  </si>
  <si>
    <t xml:space="preserve">Директор </t>
  </si>
  <si>
    <t xml:space="preserve">Приложение №____ к приказу МАОУ СОШ № 3 </t>
  </si>
  <si>
    <t>Директор МАОУ СОШ № 3</t>
  </si>
  <si>
    <t>______________________А.А.Андреев</t>
  </si>
  <si>
    <t>МАОУ СОШ № 3 им. С.В.Дубинского ст. Березанской  на 2023-2024 учебный год</t>
  </si>
  <si>
    <t>СВОДНЫЕ ДАННЫЕ ПО НАГРУЗКЕ ПЕДАГОГОВ, ОКАЗЫВАЮЩИХ ПЛАТНЫЕ ДОПОЛНИТЕЛЬНЫЕ ОБРАЗОВАТЕЛЬНЫЕ  И ИНЫЕ  УСЛУГИ  ПО МАОУ СОШ № 3 им. С.В.Дубинского ст. Березанской  В 2023-2024 УЧЕБНОМ ГОДУ</t>
  </si>
  <si>
    <t>Расчет заработной платы административно-хозяйственного персонала, участвующего в оказании платных дополнительных образовательных услуг в 2023 - 2024 учебном году МАОУ СОШ № 3 им. С.В.Дубинского ст. Березанской</t>
  </si>
  <si>
    <t>МАОУ СОШ № 3 им. С.В.Дубинского ст. Березанской на 2023-2024 учебный год</t>
  </si>
  <si>
    <t>в 2023 - 2024 учебном году</t>
  </si>
  <si>
    <t>ВСЕГО, руб. (индекс инфляции 1,068)</t>
  </si>
  <si>
    <t>ВСЕГО, руб. (индекс инфляции 1,042)</t>
  </si>
  <si>
    <t>ВСЕГО, руб. (индекс инфляции 1,045)</t>
  </si>
  <si>
    <t>занятие (20 минут)</t>
  </si>
  <si>
    <t>среднемесячное количество рабочих часов в 2023 году</t>
  </si>
  <si>
    <t xml:space="preserve"> платной образовательной и иной услуги  на 2023-2024 учебный год </t>
  </si>
  <si>
    <t>по состоянию на 1 сентября  2023 года</t>
  </si>
  <si>
    <t>Зам.главного бухгалтера:</t>
  </si>
  <si>
    <t>О.Ю.Шипилова</t>
  </si>
  <si>
    <t>"______" _______________ 2023 г</t>
  </si>
  <si>
    <t>"_____" _________________ 2023г.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</si>
</sst>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#,##0.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0.00000000"/>
    <numFmt numFmtId="202" formatCode="0.0%"/>
    <numFmt numFmtId="203" formatCode="#,##0_ ;\-#,##0\ "/>
    <numFmt numFmtId="204" formatCode="#,##0&quot;р.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 vertical="center" wrapText="1"/>
      <protection/>
    </xf>
    <xf numFmtId="0" fontId="6" fillId="0" borderId="0" xfId="56" applyFont="1" applyFill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>
      <alignment/>
      <protection/>
    </xf>
    <xf numFmtId="2" fontId="6" fillId="0" borderId="10" xfId="0" applyNumberFormat="1" applyFont="1" applyBorder="1" applyAlignment="1">
      <alignment wrapText="1"/>
    </xf>
    <xf numFmtId="0" fontId="7" fillId="0" borderId="0" xfId="57" applyFont="1" applyAlignment="1">
      <alignment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horizontal="left" vertical="center" wrapText="1"/>
      <protection/>
    </xf>
    <xf numFmtId="2" fontId="8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57" applyNumberFormat="1" applyFont="1" applyFill="1" applyBorder="1" applyAlignment="1">
      <alignment vertical="center" wrapText="1"/>
      <protection/>
    </xf>
    <xf numFmtId="9" fontId="7" fillId="0" borderId="10" xfId="57" applyNumberFormat="1" applyFont="1" applyFill="1" applyBorder="1" applyAlignment="1">
      <alignment horizontal="center" vertical="center" wrapText="1"/>
      <protection/>
    </xf>
    <xf numFmtId="2" fontId="8" fillId="0" borderId="10" xfId="57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10" xfId="56" applyFont="1" applyFill="1" applyBorder="1" applyAlignment="1">
      <alignment wrapText="1"/>
      <protection/>
    </xf>
    <xf numFmtId="2" fontId="6" fillId="3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12" fillId="0" borderId="0" xfId="57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2" fontId="7" fillId="0" borderId="0" xfId="57" applyNumberFormat="1" applyFont="1" applyFill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2" fontId="12" fillId="0" borderId="10" xfId="57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/>
    </xf>
    <xf numFmtId="0" fontId="5" fillId="0" borderId="0" xfId="57" applyFont="1">
      <alignment/>
      <protection/>
    </xf>
    <xf numFmtId="0" fontId="5" fillId="0" borderId="0" xfId="57" applyFont="1" applyFill="1">
      <alignment/>
      <protection/>
    </xf>
    <xf numFmtId="2" fontId="12" fillId="0" borderId="0" xfId="57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vertical="center" wrapText="1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57" applyNumberFormat="1" applyFont="1" applyFill="1" applyAlignment="1">
      <alignment horizontal="center" vertical="center" wrapText="1"/>
      <protection/>
    </xf>
    <xf numFmtId="1" fontId="17" fillId="0" borderId="10" xfId="57" applyNumberFormat="1" applyFont="1" applyFill="1" applyBorder="1" applyAlignment="1">
      <alignment horizontal="center" vertical="center" wrapText="1"/>
      <protection/>
    </xf>
    <xf numFmtId="1" fontId="20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vertical="center" wrapText="1"/>
      <protection/>
    </xf>
    <xf numFmtId="1" fontId="7" fillId="0" borderId="10" xfId="0" applyNumberFormat="1" applyFont="1" applyBorder="1" applyAlignment="1">
      <alignment horizontal="center" vertical="center" wrapText="1"/>
    </xf>
    <xf numFmtId="49" fontId="5" fillId="0" borderId="0" xfId="56" applyNumberFormat="1" applyFont="1" applyFill="1" applyAlignment="1">
      <alignment/>
      <protection/>
    </xf>
    <xf numFmtId="2" fontId="5" fillId="0" borderId="0" xfId="57" applyNumberFormat="1" applyFont="1" applyFill="1" applyAlignment="1">
      <alignment vertical="center" wrapText="1"/>
      <protection/>
    </xf>
    <xf numFmtId="0" fontId="21" fillId="0" borderId="10" xfId="56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1" fontId="5" fillId="0" borderId="10" xfId="56" applyNumberFormat="1" applyFont="1" applyFill="1" applyBorder="1">
      <alignment/>
      <protection/>
    </xf>
    <xf numFmtId="2" fontId="5" fillId="0" borderId="10" xfId="56" applyNumberFormat="1" applyFont="1" applyFill="1" applyBorder="1">
      <alignment/>
      <protection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8" fillId="0" borderId="13" xfId="57" applyNumberFormat="1" applyFont="1" applyFill="1" applyBorder="1" applyAlignment="1">
      <alignment vertical="center" wrapText="1"/>
      <protection/>
    </xf>
    <xf numFmtId="2" fontId="7" fillId="0" borderId="14" xfId="57" applyNumberFormat="1" applyFont="1" applyFill="1" applyBorder="1" applyAlignment="1">
      <alignment horizontal="center" vertical="center" wrapText="1"/>
      <protection/>
    </xf>
    <xf numFmtId="195" fontId="7" fillId="0" borderId="10" xfId="57" applyNumberFormat="1" applyFont="1" applyBorder="1" applyAlignment="1">
      <alignment vertical="center" wrapText="1"/>
      <protection/>
    </xf>
    <xf numFmtId="195" fontId="7" fillId="0" borderId="13" xfId="57" applyNumberFormat="1" applyFont="1" applyBorder="1" applyAlignment="1">
      <alignment vertical="center" wrapText="1"/>
      <protection/>
    </xf>
    <xf numFmtId="195" fontId="12" fillId="0" borderId="10" xfId="57" applyNumberFormat="1" applyFont="1" applyBorder="1" applyAlignment="1">
      <alignment vertical="center" wrapText="1"/>
      <protection/>
    </xf>
    <xf numFmtId="195" fontId="12" fillId="0" borderId="10" xfId="57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5" fillId="0" borderId="0" xfId="57" applyNumberFormat="1" applyFont="1" applyFill="1" applyAlignment="1">
      <alignment horizontal="left" vertical="center" wrapText="1"/>
      <protection/>
    </xf>
    <xf numFmtId="2" fontId="5" fillId="0" borderId="0" xfId="57" applyNumberFormat="1" applyFont="1" applyFill="1" applyAlignment="1">
      <alignment horizontal="center" vertical="center" wrapText="1"/>
      <protection/>
    </xf>
    <xf numFmtId="2" fontId="17" fillId="0" borderId="10" xfId="57" applyNumberFormat="1" applyFont="1" applyFill="1" applyBorder="1" applyAlignment="1">
      <alignment horizontal="left" vertical="center" wrapText="1"/>
      <protection/>
    </xf>
    <xf numFmtId="2" fontId="17" fillId="0" borderId="10" xfId="57" applyNumberFormat="1" applyFont="1" applyFill="1" applyBorder="1" applyAlignment="1">
      <alignment horizontal="center" vertical="center" wrapText="1"/>
      <protection/>
    </xf>
    <xf numFmtId="2" fontId="17" fillId="0" borderId="0" xfId="57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2" fontId="27" fillId="35" borderId="10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2" fontId="27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2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5" fillId="0" borderId="0" xfId="0" applyFont="1" applyBorder="1" applyAlignment="1">
      <alignment horizontal="left" vertical="top"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 wrapText="1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left" wrapText="1"/>
    </xf>
    <xf numFmtId="0" fontId="15" fillId="39" borderId="10" xfId="0" applyFont="1" applyFill="1" applyBorder="1" applyAlignment="1">
      <alignment horizontal="center" vertical="center" wrapText="1"/>
    </xf>
    <xf numFmtId="0" fontId="7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15" fillId="0" borderId="10" xfId="0" applyFont="1" applyFill="1" applyBorder="1" applyAlignment="1">
      <alignment horizontal="center" vertical="center" wrapText="1"/>
    </xf>
    <xf numFmtId="2" fontId="5" fillId="0" borderId="0" xfId="56" applyNumberFormat="1" applyFont="1" applyFill="1" applyAlignment="1">
      <alignment horizontal="center"/>
      <protection/>
    </xf>
    <xf numFmtId="9" fontId="5" fillId="0" borderId="0" xfId="56" applyNumberFormat="1" applyFont="1" applyFill="1" applyAlignment="1">
      <alignment horizontal="center"/>
      <protection/>
    </xf>
    <xf numFmtId="191" fontId="5" fillId="0" borderId="0" xfId="56" applyNumberFormat="1" applyFont="1" applyFill="1" applyAlignment="1">
      <alignment horizontal="center"/>
      <protection/>
    </xf>
    <xf numFmtId="2" fontId="7" fillId="37" borderId="1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/>
    </xf>
    <xf numFmtId="0" fontId="6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vertical="center" wrapText="1"/>
      <protection/>
    </xf>
    <xf numFmtId="4" fontId="8" fillId="0" borderId="10" xfId="0" applyNumberFormat="1" applyFont="1" applyBorder="1" applyAlignment="1">
      <alignment horizontal="center" vertical="center" wrapText="1"/>
    </xf>
    <xf numFmtId="0" fontId="5" fillId="0" borderId="0" xfId="56" applyFont="1" applyFill="1" applyAlignment="1">
      <alignment/>
      <protection/>
    </xf>
    <xf numFmtId="0" fontId="5" fillId="0" borderId="0" xfId="56" applyFont="1" applyFill="1" applyAlignment="1">
      <alignment horizontal="right"/>
      <protection/>
    </xf>
    <xf numFmtId="0" fontId="7" fillId="0" borderId="0" xfId="56" applyFont="1" applyFill="1" applyAlignment="1">
      <alignment horizontal="center"/>
      <protection/>
    </xf>
    <xf numFmtId="0" fontId="7" fillId="0" borderId="0" xfId="0" applyFont="1" applyAlignment="1">
      <alignment horizontal="left"/>
    </xf>
    <xf numFmtId="4" fontId="7" fillId="38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3" fontId="7" fillId="38" borderId="10" xfId="0" applyNumberFormat="1" applyFont="1" applyFill="1" applyBorder="1" applyAlignment="1">
      <alignment horizontal="center"/>
    </xf>
    <xf numFmtId="191" fontId="8" fillId="0" borderId="10" xfId="57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Fill="1" applyBorder="1" applyAlignment="1">
      <alignment horizontal="center"/>
      <protection/>
    </xf>
    <xf numFmtId="2" fontId="6" fillId="0" borderId="10" xfId="56" applyNumberFormat="1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vertical="center" wrapText="1"/>
      <protection/>
    </xf>
    <xf numFmtId="2" fontId="7" fillId="38" borderId="10" xfId="0" applyNumberFormat="1" applyFont="1" applyFill="1" applyBorder="1" applyAlignment="1">
      <alignment horizontal="center"/>
    </xf>
    <xf numFmtId="0" fontId="49" fillId="0" borderId="0" xfId="55">
      <alignment/>
      <protection/>
    </xf>
    <xf numFmtId="2" fontId="7" fillId="0" borderId="15" xfId="57" applyNumberFormat="1" applyFont="1" applyFill="1" applyBorder="1" applyAlignment="1">
      <alignment horizontal="center" vertical="center" wrapText="1"/>
      <protection/>
    </xf>
    <xf numFmtId="0" fontId="7" fillId="39" borderId="10" xfId="57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4" xfId="56" applyFont="1" applyFill="1" applyBorder="1" applyAlignment="1">
      <alignment horizontal="center" vertical="center" textRotation="90" wrapText="1"/>
      <protection/>
    </xf>
    <xf numFmtId="0" fontId="5" fillId="0" borderId="16" xfId="0" applyFont="1" applyFill="1" applyBorder="1" applyAlignment="1">
      <alignment textRotation="90"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10" fillId="34" borderId="17" xfId="56" applyFont="1" applyFill="1" applyBorder="1" applyAlignment="1">
      <alignment horizontal="center" vertical="center" wrapText="1"/>
      <protection/>
    </xf>
    <xf numFmtId="0" fontId="10" fillId="34" borderId="18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center" vertical="center" textRotation="90" wrapText="1"/>
      <protection/>
    </xf>
    <xf numFmtId="0" fontId="6" fillId="0" borderId="16" xfId="0" applyFont="1" applyFill="1" applyBorder="1" applyAlignment="1">
      <alignment textRotation="90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0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2" fontId="12" fillId="0" borderId="17" xfId="57" applyNumberFormat="1" applyFont="1" applyBorder="1" applyAlignment="1">
      <alignment horizontal="center" vertical="center" wrapText="1"/>
      <protection/>
    </xf>
    <xf numFmtId="2" fontId="12" fillId="0" borderId="18" xfId="57" applyNumberFormat="1" applyFont="1" applyBorder="1" applyAlignment="1">
      <alignment horizontal="center" vertical="center" wrapText="1"/>
      <protection/>
    </xf>
    <xf numFmtId="2" fontId="12" fillId="0" borderId="13" xfId="57" applyNumberFormat="1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12" fillId="0" borderId="14" xfId="57" applyFont="1" applyBorder="1" applyAlignment="1">
      <alignment horizontal="center" vertical="center" wrapText="1"/>
      <protection/>
    </xf>
    <xf numFmtId="0" fontId="12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left" vertical="center" wrapText="1"/>
      <protection/>
    </xf>
    <xf numFmtId="0" fontId="7" fillId="0" borderId="18" xfId="57" applyFont="1" applyBorder="1" applyAlignment="1">
      <alignment horizontal="left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0" xfId="58" applyFont="1" applyFill="1" applyBorder="1">
      <alignment/>
      <protection/>
    </xf>
    <xf numFmtId="2" fontId="12" fillId="0" borderId="0" xfId="57" applyNumberFormat="1" applyFont="1" applyBorder="1" applyAlignment="1">
      <alignment horizontal="center" vertical="center" wrapText="1"/>
      <protection/>
    </xf>
    <xf numFmtId="0" fontId="12" fillId="0" borderId="17" xfId="57" applyFont="1" applyBorder="1" applyAlignment="1">
      <alignment horizontal="left" vertical="center" wrapText="1"/>
      <protection/>
    </xf>
    <xf numFmtId="0" fontId="12" fillId="0" borderId="18" xfId="57" applyFont="1" applyBorder="1" applyAlignment="1">
      <alignment horizontal="left" vertical="center" wrapText="1"/>
      <protection/>
    </xf>
    <xf numFmtId="0" fontId="12" fillId="0" borderId="13" xfId="57" applyFont="1" applyBorder="1" applyAlignment="1">
      <alignment horizontal="left" vertical="center" wrapText="1"/>
      <protection/>
    </xf>
    <xf numFmtId="0" fontId="18" fillId="0" borderId="17" xfId="57" applyFont="1" applyBorder="1" applyAlignment="1">
      <alignment horizontal="left" vertical="center" wrapText="1"/>
      <protection/>
    </xf>
    <xf numFmtId="0" fontId="18" fillId="0" borderId="18" xfId="57" applyFont="1" applyBorder="1" applyAlignment="1">
      <alignment horizontal="left" vertical="center" wrapText="1"/>
      <protection/>
    </xf>
    <xf numFmtId="0" fontId="18" fillId="0" borderId="13" xfId="57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2" fontId="7" fillId="0" borderId="14" xfId="57" applyNumberFormat="1" applyFont="1" applyFill="1" applyBorder="1" applyAlignment="1">
      <alignment horizontal="center" vertical="center" wrapText="1"/>
      <protection/>
    </xf>
    <xf numFmtId="2" fontId="7" fillId="0" borderId="16" xfId="57" applyNumberFormat="1" applyFont="1" applyFill="1" applyBorder="1" applyAlignment="1">
      <alignment horizontal="center" vertical="center" wrapText="1"/>
      <protection/>
    </xf>
    <xf numFmtId="2" fontId="10" fillId="0" borderId="0" xfId="57" applyNumberFormat="1" applyFont="1" applyFill="1" applyAlignment="1">
      <alignment horizontal="center" vertical="center" wrapText="1"/>
      <protection/>
    </xf>
    <xf numFmtId="2" fontId="10" fillId="0" borderId="0" xfId="57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3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7" fillId="0" borderId="0" xfId="57" applyNumberFormat="1" applyFont="1" applyFill="1" applyAlignment="1">
      <alignment horizontal="left" vertical="center" wrapText="1"/>
      <protection/>
    </xf>
    <xf numFmtId="0" fontId="10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3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95" fontId="7" fillId="0" borderId="17" xfId="0" applyNumberFormat="1" applyFont="1" applyBorder="1" applyAlignment="1">
      <alignment horizontal="center"/>
    </xf>
    <xf numFmtId="195" fontId="7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нига2" xfId="56"/>
    <cellStyle name="Обычный_мой расчет гимн. № 25" xfId="57"/>
    <cellStyle name="Обычный_расчет для МДО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3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7.140625" style="53" customWidth="1"/>
    <col min="2" max="2" width="38.00390625" style="53" customWidth="1"/>
    <col min="3" max="5" width="9.140625" style="53" customWidth="1"/>
    <col min="6" max="6" width="12.421875" style="53" customWidth="1"/>
    <col min="7" max="16384" width="9.140625" style="53" customWidth="1"/>
  </cols>
  <sheetData>
    <row r="1" spans="2:12" s="13" customFormat="1" ht="12.75" customHeight="1">
      <c r="B1" s="87"/>
      <c r="C1" s="109"/>
      <c r="D1" s="109"/>
      <c r="E1" s="109"/>
      <c r="F1" s="109"/>
      <c r="G1" s="87"/>
      <c r="H1" s="110"/>
      <c r="I1" s="110"/>
      <c r="J1" s="110"/>
      <c r="L1" s="20"/>
    </row>
    <row r="2" ht="20.25" customHeight="1"/>
    <row r="3" spans="1:6" ht="58.5" customHeight="1">
      <c r="A3" s="184" t="s">
        <v>133</v>
      </c>
      <c r="B3" s="184"/>
      <c r="C3" s="184"/>
      <c r="D3" s="184"/>
      <c r="E3" s="184"/>
      <c r="F3" s="184"/>
    </row>
    <row r="4" spans="1:6" ht="34.5" customHeight="1">
      <c r="A4" s="184" t="s">
        <v>203</v>
      </c>
      <c r="B4" s="184"/>
      <c r="C4" s="184"/>
      <c r="D4" s="184"/>
      <c r="E4" s="184"/>
      <c r="F4" s="184"/>
    </row>
    <row r="5" spans="1:5" ht="15">
      <c r="A5" s="34"/>
      <c r="B5" s="34"/>
      <c r="C5" s="34"/>
      <c r="D5" s="34"/>
      <c r="E5" s="35"/>
    </row>
    <row r="6" spans="1:5" s="52" customFormat="1" ht="30" customHeight="1">
      <c r="A6" s="32" t="s">
        <v>2</v>
      </c>
      <c r="B6" s="32" t="s">
        <v>33</v>
      </c>
      <c r="C6" s="32" t="s">
        <v>31</v>
      </c>
      <c r="D6" s="32" t="s">
        <v>26</v>
      </c>
      <c r="E6" s="32" t="s">
        <v>32</v>
      </c>
    </row>
    <row r="7" spans="1:5" ht="27.75" customHeight="1">
      <c r="A7" s="36">
        <v>1</v>
      </c>
      <c r="B7" s="33" t="s">
        <v>169</v>
      </c>
      <c r="C7" s="150">
        <v>9</v>
      </c>
      <c r="D7" s="32">
        <v>1</v>
      </c>
      <c r="E7" s="32">
        <f>C7*D7</f>
        <v>9</v>
      </c>
    </row>
    <row r="8" spans="1:5" s="54" customFormat="1" ht="14.25">
      <c r="A8" s="183" t="s">
        <v>3</v>
      </c>
      <c r="B8" s="183"/>
      <c r="C8" s="31">
        <f>SUM(C7:C7)</f>
        <v>9</v>
      </c>
      <c r="D8" s="31">
        <f>SUM(D7:D7)</f>
        <v>1</v>
      </c>
      <c r="E8" s="31">
        <f>SUM(E7:E7)</f>
        <v>9</v>
      </c>
    </row>
    <row r="13" spans="1:5" s="13" customFormat="1" ht="21" customHeight="1">
      <c r="A13" s="151" t="s">
        <v>167</v>
      </c>
      <c r="B13" s="21"/>
      <c r="E13" s="151" t="s">
        <v>168</v>
      </c>
    </row>
    <row r="14" s="13" customFormat="1" ht="12.75">
      <c r="B14" s="21"/>
    </row>
    <row r="15" s="13" customFormat="1" ht="12.75">
      <c r="B15" s="21"/>
    </row>
    <row r="16" s="13" customFormat="1" ht="12.75">
      <c r="B16" s="21"/>
    </row>
    <row r="17" s="13" customFormat="1" ht="18.75" customHeight="1">
      <c r="B17" s="21"/>
    </row>
    <row r="18" s="13" customFormat="1" ht="14.25" customHeight="1">
      <c r="B18" s="21"/>
    </row>
    <row r="36" spans="4:5" ht="12.75">
      <c r="D36" s="52"/>
      <c r="E36" s="52"/>
    </row>
  </sheetData>
  <sheetProtection/>
  <mergeCells count="3">
    <mergeCell ref="A8:B8"/>
    <mergeCell ref="A4:F4"/>
    <mergeCell ref="A3:F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L113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5.421875" style="0" customWidth="1"/>
    <col min="2" max="2" width="32.28125" style="0" customWidth="1"/>
    <col min="3" max="3" width="11.28125" style="0" customWidth="1"/>
    <col min="4" max="4" width="10.140625" style="0" customWidth="1"/>
    <col min="5" max="5" width="18.8515625" style="0" customWidth="1"/>
    <col min="6" max="6" width="15.8515625" style="0" customWidth="1"/>
    <col min="7" max="7" width="17.28125" style="0" customWidth="1"/>
    <col min="8" max="8" width="14.00390625" style="0" customWidth="1"/>
    <col min="9" max="9" width="14.57421875" style="0" customWidth="1"/>
    <col min="10" max="10" width="13.57421875" style="0" customWidth="1"/>
    <col min="11" max="11" width="10.7109375" style="0" customWidth="1"/>
    <col min="12" max="12" width="9.57421875" style="0" bestFit="1" customWidth="1"/>
  </cols>
  <sheetData>
    <row r="1" spans="8:11" ht="15.75">
      <c r="H1" s="246" t="s">
        <v>200</v>
      </c>
      <c r="I1" s="246"/>
      <c r="J1" s="246"/>
      <c r="K1" s="246"/>
    </row>
    <row r="2" spans="8:11" ht="15.75">
      <c r="H2" s="246" t="s">
        <v>141</v>
      </c>
      <c r="I2" s="246"/>
      <c r="J2" s="246"/>
      <c r="K2" s="246"/>
    </row>
    <row r="3" spans="1:12" ht="15.75">
      <c r="A3" s="152" t="s">
        <v>76</v>
      </c>
      <c r="B3" s="115"/>
      <c r="C3" s="114"/>
      <c r="D3" s="1"/>
      <c r="E3" s="1"/>
      <c r="F3" s="1"/>
      <c r="G3" s="1"/>
      <c r="H3" s="115"/>
      <c r="I3" s="115"/>
      <c r="J3" s="115" t="s">
        <v>91</v>
      </c>
      <c r="K3" s="115"/>
      <c r="L3" s="114"/>
    </row>
    <row r="4" spans="1:12" ht="15.75">
      <c r="A4" s="152" t="s">
        <v>77</v>
      </c>
      <c r="B4" s="115"/>
      <c r="C4" s="114"/>
      <c r="D4" s="114"/>
      <c r="E4" s="114"/>
      <c r="F4" s="114"/>
      <c r="G4" s="114"/>
      <c r="H4" s="115"/>
      <c r="I4" s="115"/>
      <c r="J4" s="115"/>
      <c r="K4" s="115"/>
      <c r="L4" s="114"/>
    </row>
    <row r="5" spans="1:12" ht="15.75">
      <c r="A5" s="152" t="s">
        <v>78</v>
      </c>
      <c r="B5" s="115"/>
      <c r="C5" s="114"/>
      <c r="D5" s="114"/>
      <c r="E5" s="114"/>
      <c r="F5" s="114"/>
      <c r="G5" s="114"/>
      <c r="H5" s="115" t="s">
        <v>92</v>
      </c>
      <c r="I5" s="115"/>
      <c r="J5" s="116">
        <f>C36</f>
        <v>0.04</v>
      </c>
      <c r="K5" s="116"/>
      <c r="L5" s="114"/>
    </row>
    <row r="6" spans="1:12" ht="15.75">
      <c r="A6" s="152" t="s">
        <v>79</v>
      </c>
      <c r="B6" s="115"/>
      <c r="C6" s="114"/>
      <c r="D6" s="114"/>
      <c r="E6" s="114"/>
      <c r="F6" s="114"/>
      <c r="G6" s="114"/>
      <c r="H6" s="115" t="s">
        <v>93</v>
      </c>
      <c r="I6" s="115"/>
      <c r="J6" s="115"/>
      <c r="K6" s="247">
        <f>J36</f>
        <v>5316.8</v>
      </c>
      <c r="L6" s="247"/>
    </row>
    <row r="7" spans="1:12" ht="15.75">
      <c r="A7" s="152" t="s">
        <v>166</v>
      </c>
      <c r="B7" s="115"/>
      <c r="C7" s="114"/>
      <c r="D7" s="114"/>
      <c r="E7" s="114"/>
      <c r="F7" s="114"/>
      <c r="G7" s="114"/>
      <c r="H7" s="115" t="s">
        <v>111</v>
      </c>
      <c r="I7" s="115"/>
      <c r="J7" s="115"/>
      <c r="K7" s="115" t="s">
        <v>195</v>
      </c>
      <c r="L7" s="114"/>
    </row>
    <row r="8" spans="1:12" ht="15.75">
      <c r="A8" s="152" t="s">
        <v>80</v>
      </c>
      <c r="B8" s="115"/>
      <c r="C8" s="114"/>
      <c r="D8" s="114"/>
      <c r="E8" s="114"/>
      <c r="F8" s="114"/>
      <c r="G8" s="114"/>
      <c r="H8" s="115"/>
      <c r="I8" s="115"/>
      <c r="J8" s="115"/>
      <c r="K8" s="115"/>
      <c r="L8" s="114"/>
    </row>
    <row r="9" spans="1:12" ht="15.75">
      <c r="A9" s="151"/>
      <c r="B9" s="114"/>
      <c r="C9" s="114"/>
      <c r="D9" s="114"/>
      <c r="E9" s="114"/>
      <c r="F9" s="114"/>
      <c r="G9" s="114"/>
      <c r="H9" s="115"/>
      <c r="I9" s="115"/>
      <c r="J9" s="115"/>
      <c r="K9" s="115"/>
      <c r="L9" s="114"/>
    </row>
    <row r="10" spans="1:12" ht="48" customHeight="1">
      <c r="A10" s="253" t="s">
        <v>177</v>
      </c>
      <c r="B10" s="253"/>
      <c r="C10" s="253"/>
      <c r="D10" s="253"/>
      <c r="E10" s="253"/>
      <c r="F10" s="253"/>
      <c r="G10" s="253"/>
      <c r="H10" s="117" t="s">
        <v>94</v>
      </c>
      <c r="I10" s="118"/>
      <c r="J10" s="118"/>
      <c r="K10" s="119"/>
      <c r="L10" s="114"/>
    </row>
    <row r="11" spans="1:10" ht="15.75" customHeight="1">
      <c r="A11" s="252" t="s">
        <v>96</v>
      </c>
      <c r="B11" s="252"/>
      <c r="C11" s="252"/>
      <c r="D11" s="252"/>
      <c r="E11" s="252"/>
      <c r="F11" s="252"/>
      <c r="G11" s="252"/>
      <c r="H11" s="114"/>
      <c r="I11" s="114"/>
      <c r="J11" s="114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45"/>
    </row>
    <row r="13" spans="1:10" ht="20.25">
      <c r="A13" s="1"/>
      <c r="B13" s="1"/>
      <c r="C13" s="1"/>
      <c r="D13" s="254" t="s">
        <v>95</v>
      </c>
      <c r="E13" s="254"/>
      <c r="F13" s="254"/>
      <c r="G13" s="254"/>
      <c r="H13" s="254"/>
      <c r="I13" s="254"/>
      <c r="J13" s="1"/>
    </row>
    <row r="14" spans="1:10" ht="21" customHeight="1">
      <c r="A14" s="1"/>
      <c r="B14" s="1"/>
      <c r="C14" s="1"/>
      <c r="D14" s="250" t="s">
        <v>119</v>
      </c>
      <c r="E14" s="250"/>
      <c r="F14" s="250"/>
      <c r="G14" s="250"/>
      <c r="H14" s="250"/>
      <c r="I14" s="250"/>
      <c r="J14" s="1"/>
    </row>
    <row r="15" spans="1:10" ht="15.75">
      <c r="A15" s="1"/>
      <c r="B15" s="1"/>
      <c r="C15" s="1"/>
      <c r="D15" s="251" t="s">
        <v>214</v>
      </c>
      <c r="E15" s="251"/>
      <c r="F15" s="251"/>
      <c r="G15" s="251"/>
      <c r="H15" s="251"/>
      <c r="I15" s="251"/>
      <c r="J15" s="1"/>
    </row>
    <row r="16" spans="1:10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63.75" customHeight="1">
      <c r="A17" s="245" t="s">
        <v>2</v>
      </c>
      <c r="B17" s="245" t="s">
        <v>5</v>
      </c>
      <c r="C17" s="245" t="s">
        <v>97</v>
      </c>
      <c r="D17" s="245" t="s">
        <v>112</v>
      </c>
      <c r="E17" s="245" t="s">
        <v>113</v>
      </c>
      <c r="F17" s="245" t="s">
        <v>114</v>
      </c>
      <c r="G17" s="245" t="s">
        <v>115</v>
      </c>
      <c r="H17" s="121" t="s">
        <v>116</v>
      </c>
      <c r="I17" s="121" t="s">
        <v>118</v>
      </c>
      <c r="J17" s="245" t="s">
        <v>98</v>
      </c>
    </row>
    <row r="18" spans="1:10" ht="54.75" customHeight="1">
      <c r="A18" s="245"/>
      <c r="B18" s="245"/>
      <c r="C18" s="245"/>
      <c r="D18" s="245"/>
      <c r="E18" s="245"/>
      <c r="F18" s="245"/>
      <c r="G18" s="245"/>
      <c r="H18" s="248" t="s">
        <v>99</v>
      </c>
      <c r="I18" s="245" t="s">
        <v>117</v>
      </c>
      <c r="J18" s="245"/>
    </row>
    <row r="19" spans="1:10" ht="12.75">
      <c r="A19" s="245"/>
      <c r="B19" s="245"/>
      <c r="C19" s="245"/>
      <c r="D19" s="245"/>
      <c r="E19" s="245"/>
      <c r="F19" s="245"/>
      <c r="G19" s="245"/>
      <c r="H19" s="249"/>
      <c r="I19" s="245"/>
      <c r="J19" s="245"/>
    </row>
    <row r="20" spans="1:10" ht="13.5" customHeight="1">
      <c r="A20" s="122">
        <v>1</v>
      </c>
      <c r="B20" s="122">
        <v>2</v>
      </c>
      <c r="C20" s="122">
        <v>3</v>
      </c>
      <c r="D20" s="122">
        <v>4</v>
      </c>
      <c r="E20" s="122">
        <v>5</v>
      </c>
      <c r="F20" s="122">
        <v>6</v>
      </c>
      <c r="G20" s="122">
        <v>7</v>
      </c>
      <c r="H20" s="122">
        <v>8</v>
      </c>
      <c r="I20" s="122">
        <v>9</v>
      </c>
      <c r="J20" s="121">
        <v>10</v>
      </c>
    </row>
    <row r="21" spans="1:10" ht="15.75">
      <c r="A21" s="240" t="s">
        <v>100</v>
      </c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0" ht="15.75">
      <c r="A22" s="146">
        <v>1</v>
      </c>
      <c r="B22" s="147" t="s">
        <v>167</v>
      </c>
      <c r="C22" s="146"/>
      <c r="D22" s="159">
        <f>'з.плата АУП'!D6</f>
        <v>23729</v>
      </c>
      <c r="E22" s="146"/>
      <c r="F22" s="146">
        <v>1</v>
      </c>
      <c r="G22" s="146">
        <f>D22*F22</f>
        <v>23729</v>
      </c>
      <c r="H22" s="146"/>
      <c r="I22" s="146"/>
      <c r="J22" s="157">
        <f>'з.плата АУП'!H6</f>
        <v>2610.19</v>
      </c>
    </row>
    <row r="23" spans="1:10" ht="15.75">
      <c r="A23" s="146"/>
      <c r="B23" s="147"/>
      <c r="C23" s="146"/>
      <c r="D23" s="146"/>
      <c r="E23" s="146"/>
      <c r="F23" s="146"/>
      <c r="G23" s="146"/>
      <c r="H23" s="146"/>
      <c r="I23" s="146"/>
      <c r="J23" s="157"/>
    </row>
    <row r="24" spans="1:10" ht="12.75">
      <c r="A24" s="123"/>
      <c r="B24" s="123" t="s">
        <v>101</v>
      </c>
      <c r="C24" s="124"/>
      <c r="D24" s="125">
        <f>D22+D23</f>
        <v>23729</v>
      </c>
      <c r="E24" s="125"/>
      <c r="F24" s="125"/>
      <c r="G24" s="125">
        <f>G22+G23</f>
        <v>23729</v>
      </c>
      <c r="H24" s="125"/>
      <c r="I24" s="123"/>
      <c r="J24" s="125">
        <f>J22+J23</f>
        <v>2610.19</v>
      </c>
    </row>
    <row r="25" spans="1:10" ht="15.75">
      <c r="A25" s="242" t="s">
        <v>102</v>
      </c>
      <c r="B25" s="242"/>
      <c r="C25" s="242"/>
      <c r="D25" s="242"/>
      <c r="E25" s="242"/>
      <c r="F25" s="242"/>
      <c r="G25" s="242"/>
      <c r="H25" s="242"/>
      <c r="I25" s="242"/>
      <c r="J25" s="242"/>
    </row>
    <row r="26" spans="1:10" ht="15.75">
      <c r="A26" s="148">
        <v>1</v>
      </c>
      <c r="B26" s="149" t="s">
        <v>197</v>
      </c>
      <c r="C26" s="179">
        <f>('нагрузка,ФОТ'!D8)/18</f>
        <v>0.04</v>
      </c>
      <c r="D26" s="148"/>
      <c r="E26" s="172">
        <f>'нагрузка,ФОТ'!C2</f>
        <v>15042</v>
      </c>
      <c r="F26" s="148">
        <v>5</v>
      </c>
      <c r="G26" s="169">
        <f>E26*F26</f>
        <v>75210</v>
      </c>
      <c r="H26" s="169"/>
      <c r="I26" s="169"/>
      <c r="J26" s="169">
        <f>('нагрузка,ФОТ'!L8)/9</f>
        <v>2706.61</v>
      </c>
    </row>
    <row r="27" spans="1:10" ht="12.75">
      <c r="A27" s="123"/>
      <c r="B27" s="126" t="s">
        <v>103</v>
      </c>
      <c r="C27" s="125">
        <f>SUM(C26:C26)</f>
        <v>0.04</v>
      </c>
      <c r="D27" s="125"/>
      <c r="E27" s="125"/>
      <c r="F27" s="125"/>
      <c r="G27" s="170"/>
      <c r="H27" s="170"/>
      <c r="I27" s="170"/>
      <c r="J27" s="170">
        <f>J26</f>
        <v>2706.61</v>
      </c>
    </row>
    <row r="28" spans="1:10" ht="15.75">
      <c r="A28" s="243" t="s">
        <v>104</v>
      </c>
      <c r="B28" s="244"/>
      <c r="C28" s="244"/>
      <c r="D28" s="244"/>
      <c r="E28" s="244"/>
      <c r="F28" s="244"/>
      <c r="G28" s="244"/>
      <c r="H28" s="244"/>
      <c r="I28" s="244"/>
      <c r="J28" s="244"/>
    </row>
    <row r="29" spans="1:10" s="130" customFormat="1" ht="12.75" hidden="1">
      <c r="A29" s="127"/>
      <c r="B29" s="128"/>
      <c r="C29" s="122"/>
      <c r="D29" s="122"/>
      <c r="E29" s="122"/>
      <c r="F29" s="122"/>
      <c r="G29" s="122"/>
      <c r="H29" s="129"/>
      <c r="I29" s="122"/>
      <c r="J29" s="129"/>
    </row>
    <row r="30" spans="1:10" s="130" customFormat="1" ht="12.75" hidden="1">
      <c r="A30" s="131"/>
      <c r="B30" s="128"/>
      <c r="C30" s="122"/>
      <c r="D30" s="122"/>
      <c r="E30" s="122"/>
      <c r="F30" s="122"/>
      <c r="G30" s="122"/>
      <c r="H30" s="129"/>
      <c r="I30" s="122"/>
      <c r="J30" s="129"/>
    </row>
    <row r="31" spans="1:10" s="130" customFormat="1" ht="12.75">
      <c r="A31" s="132"/>
      <c r="B31" s="132" t="s">
        <v>105</v>
      </c>
      <c r="C31" s="133">
        <f>SUM(C29:C30)</f>
        <v>0</v>
      </c>
      <c r="D31" s="134">
        <f>SUM(D29:D30)</f>
        <v>0</v>
      </c>
      <c r="E31" s="125" t="s">
        <v>106</v>
      </c>
      <c r="F31" s="135">
        <f>SUM(F29:F30)</f>
        <v>0</v>
      </c>
      <c r="G31" s="125" t="s">
        <v>106</v>
      </c>
      <c r="H31" s="136"/>
      <c r="I31" s="125"/>
      <c r="J31" s="133">
        <f>SUM(J29:J30)</f>
        <v>0</v>
      </c>
    </row>
    <row r="32" spans="1:10" ht="15.75" customHeight="1">
      <c r="A32" s="240" t="s">
        <v>107</v>
      </c>
      <c r="B32" s="240"/>
      <c r="C32" s="240"/>
      <c r="D32" s="240"/>
      <c r="E32" s="240"/>
      <c r="F32" s="240"/>
      <c r="G32" s="240"/>
      <c r="H32" s="240"/>
      <c r="I32" s="240"/>
      <c r="J32" s="240"/>
    </row>
    <row r="33" spans="1:10" ht="12.75">
      <c r="A33" s="123"/>
      <c r="B33" s="123" t="s">
        <v>108</v>
      </c>
      <c r="C33" s="124"/>
      <c r="D33" s="124"/>
      <c r="E33" s="123"/>
      <c r="F33" s="137"/>
      <c r="G33" s="123"/>
      <c r="H33" s="125"/>
      <c r="I33" s="123"/>
      <c r="J33" s="125"/>
    </row>
    <row r="34" spans="1:10" ht="15.75" customHeight="1">
      <c r="A34" s="240" t="s">
        <v>109</v>
      </c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ht="12.75">
      <c r="A35" s="138"/>
      <c r="B35" s="123" t="s">
        <v>110</v>
      </c>
      <c r="C35" s="124"/>
      <c r="D35" s="139"/>
      <c r="E35" s="123"/>
      <c r="F35" s="124"/>
      <c r="G35" s="123"/>
      <c r="H35" s="124"/>
      <c r="I35" s="123"/>
      <c r="J35" s="125"/>
    </row>
    <row r="36" spans="1:10" ht="16.5" customHeight="1">
      <c r="A36" s="138"/>
      <c r="B36" s="123" t="s">
        <v>49</v>
      </c>
      <c r="C36" s="125">
        <f>C27</f>
        <v>0.04</v>
      </c>
      <c r="D36" s="139">
        <f>D24+D27+D33+D35+D31</f>
        <v>23729</v>
      </c>
      <c r="E36" s="171">
        <f>E27</f>
        <v>0</v>
      </c>
      <c r="F36" s="170" t="s">
        <v>106</v>
      </c>
      <c r="G36" s="170">
        <f>G24+G27</f>
        <v>23729</v>
      </c>
      <c r="H36" s="171"/>
      <c r="I36" s="171"/>
      <c r="J36" s="170">
        <f>J24+J27</f>
        <v>5316.8</v>
      </c>
    </row>
    <row r="37" spans="1:10" ht="15.75">
      <c r="A37" s="115"/>
      <c r="B37" s="1"/>
      <c r="C37" s="140"/>
      <c r="D37" s="115"/>
      <c r="E37" s="115"/>
      <c r="F37" s="115"/>
      <c r="G37" s="115"/>
      <c r="H37" s="115"/>
      <c r="J37" s="141"/>
    </row>
    <row r="38" spans="1:10" ht="15.75">
      <c r="A38" s="115" t="s">
        <v>215</v>
      </c>
      <c r="B38" s="115"/>
      <c r="C38" s="115"/>
      <c r="D38" s="142"/>
      <c r="E38" s="241" t="s">
        <v>216</v>
      </c>
      <c r="F38" s="241"/>
      <c r="G38" s="241"/>
      <c r="H38" s="241"/>
      <c r="I38" s="115"/>
      <c r="J38" s="141"/>
    </row>
    <row r="39" spans="1:10" ht="12.75">
      <c r="A39" s="143"/>
      <c r="B39" s="1"/>
      <c r="C39" s="1"/>
      <c r="D39" s="144"/>
      <c r="E39" s="1"/>
      <c r="F39" s="144"/>
      <c r="G39" s="1"/>
      <c r="H39" s="1"/>
      <c r="I39" s="143"/>
      <c r="J39" s="1"/>
    </row>
    <row r="40" spans="1:10" ht="12.75">
      <c r="A40" s="143"/>
      <c r="B40" s="1"/>
      <c r="C40" s="1"/>
      <c r="D40" s="144"/>
      <c r="E40" s="1"/>
      <c r="F40" s="144"/>
      <c r="G40" s="1"/>
      <c r="H40" s="1"/>
      <c r="I40" s="1"/>
      <c r="J40" s="1"/>
    </row>
    <row r="41" spans="1:10" ht="12.75">
      <c r="A41" s="143"/>
      <c r="B41" s="1"/>
      <c r="C41" s="1"/>
      <c r="D41" s="144"/>
      <c r="E41" s="1"/>
      <c r="F41" s="144"/>
      <c r="G41" s="1"/>
      <c r="H41" s="1"/>
      <c r="I41" s="143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</sheetData>
  <sheetProtection/>
  <mergeCells count="24">
    <mergeCell ref="A11:G11"/>
    <mergeCell ref="A10:G10"/>
    <mergeCell ref="E17:E19"/>
    <mergeCell ref="D13:I13"/>
    <mergeCell ref="C17:C19"/>
    <mergeCell ref="D17:D19"/>
    <mergeCell ref="F17:F19"/>
    <mergeCell ref="B17:B19"/>
    <mergeCell ref="J17:J19"/>
    <mergeCell ref="A17:A19"/>
    <mergeCell ref="H1:K1"/>
    <mergeCell ref="H2:K2"/>
    <mergeCell ref="K6:L6"/>
    <mergeCell ref="G17:G19"/>
    <mergeCell ref="H18:H19"/>
    <mergeCell ref="I18:I19"/>
    <mergeCell ref="D14:I14"/>
    <mergeCell ref="D15:I15"/>
    <mergeCell ref="A34:J34"/>
    <mergeCell ref="E38:H38"/>
    <mergeCell ref="A21:J21"/>
    <mergeCell ref="A25:J25"/>
    <mergeCell ref="A28:J28"/>
    <mergeCell ref="A32:J32"/>
  </mergeCells>
  <printOptions/>
  <pageMargins left="0.7086614173228347" right="0.7086614173228347" top="0.7480314960629921" bottom="0.35433070866141736" header="0.31496062992125984" footer="0.31496062992125984"/>
  <pageSetup fitToHeight="0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L23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5" width="7.57421875" style="62" customWidth="1"/>
    <col min="6" max="6" width="14.140625" style="62" customWidth="1"/>
    <col min="7" max="8" width="12.7109375" style="62" customWidth="1"/>
    <col min="9" max="9" width="16.8515625" style="62" customWidth="1"/>
    <col min="10" max="16384" width="9.140625" style="62" customWidth="1"/>
  </cols>
  <sheetData>
    <row r="1" spans="7:10" ht="15.75">
      <c r="G1" s="246" t="s">
        <v>142</v>
      </c>
      <c r="H1" s="246"/>
      <c r="I1" s="246"/>
      <c r="J1" s="246"/>
    </row>
    <row r="2" spans="7:10" ht="15.75">
      <c r="G2" s="246" t="s">
        <v>141</v>
      </c>
      <c r="H2" s="246"/>
      <c r="I2" s="246"/>
      <c r="J2" s="246"/>
    </row>
    <row r="3" spans="7:10" ht="15.75">
      <c r="G3" s="168"/>
      <c r="H3" s="168"/>
      <c r="I3" s="168"/>
      <c r="J3" s="168"/>
    </row>
    <row r="4" spans="1:12" s="13" customFormat="1" ht="15.75">
      <c r="A4" s="151" t="s">
        <v>143</v>
      </c>
      <c r="B4" s="21"/>
      <c r="E4" s="86"/>
      <c r="G4" s="151" t="s">
        <v>75</v>
      </c>
      <c r="H4" s="152"/>
      <c r="I4" s="151"/>
      <c r="J4" s="151"/>
      <c r="L4" s="20"/>
    </row>
    <row r="5" spans="1:12" s="13" customFormat="1" ht="15.75">
      <c r="A5" s="151" t="s">
        <v>77</v>
      </c>
      <c r="B5" s="167"/>
      <c r="C5" s="151"/>
      <c r="D5" s="151"/>
      <c r="E5" s="151"/>
      <c r="G5" s="151" t="s">
        <v>201</v>
      </c>
      <c r="H5" s="152"/>
      <c r="I5" s="151"/>
      <c r="J5" s="151"/>
      <c r="L5" s="20"/>
    </row>
    <row r="6" spans="1:12" s="13" customFormat="1" ht="15.75">
      <c r="A6" s="151" t="s">
        <v>78</v>
      </c>
      <c r="B6" s="167"/>
      <c r="C6" s="151"/>
      <c r="D6" s="151"/>
      <c r="E6" s="151"/>
      <c r="G6" s="151" t="s">
        <v>202</v>
      </c>
      <c r="H6" s="152"/>
      <c r="I6" s="151"/>
      <c r="J6" s="151"/>
      <c r="L6" s="20"/>
    </row>
    <row r="7" spans="1:12" s="13" customFormat="1" ht="20.25" customHeight="1">
      <c r="A7" s="151" t="s">
        <v>79</v>
      </c>
      <c r="B7" s="167"/>
      <c r="C7" s="151"/>
      <c r="D7" s="151"/>
      <c r="E7" s="151"/>
      <c r="F7" s="87"/>
      <c r="G7" s="259" t="s">
        <v>217</v>
      </c>
      <c r="H7" s="259"/>
      <c r="I7" s="259"/>
      <c r="J7" s="259"/>
      <c r="L7" s="20"/>
    </row>
    <row r="8" spans="1:5" s="53" customFormat="1" ht="15.75" customHeight="1">
      <c r="A8" s="151" t="s">
        <v>166</v>
      </c>
      <c r="B8" s="167"/>
      <c r="C8" s="151"/>
      <c r="D8" s="151"/>
      <c r="E8" s="151"/>
    </row>
    <row r="9" spans="1:5" s="53" customFormat="1" ht="21" customHeight="1">
      <c r="A9" s="261" t="s">
        <v>218</v>
      </c>
      <c r="B9" s="261"/>
      <c r="C9" s="261"/>
      <c r="D9" s="261"/>
      <c r="E9" s="261"/>
    </row>
    <row r="10" spans="1:5" s="53" customFormat="1" ht="37.5" customHeight="1">
      <c r="A10" s="165"/>
      <c r="B10" s="165"/>
      <c r="C10" s="165"/>
      <c r="D10" s="165"/>
      <c r="E10" s="165"/>
    </row>
    <row r="11" spans="1:9" s="53" customFormat="1" ht="21" customHeight="1">
      <c r="A11" s="260" t="s">
        <v>136</v>
      </c>
      <c r="B11" s="260"/>
      <c r="C11" s="260"/>
      <c r="D11" s="260"/>
      <c r="E11" s="260"/>
      <c r="F11" s="260"/>
      <c r="G11" s="260"/>
      <c r="H11" s="260"/>
      <c r="I11" s="260"/>
    </row>
    <row r="12" spans="1:9" s="53" customFormat="1" ht="37.5" customHeight="1">
      <c r="A12" s="184" t="s">
        <v>144</v>
      </c>
      <c r="B12" s="184"/>
      <c r="C12" s="184"/>
      <c r="D12" s="184"/>
      <c r="E12" s="184"/>
      <c r="F12" s="184"/>
      <c r="G12" s="184"/>
      <c r="H12" s="184"/>
      <c r="I12" s="184"/>
    </row>
    <row r="13" spans="1:9" s="53" customFormat="1" ht="60" customHeight="1">
      <c r="A13" s="262" t="s">
        <v>177</v>
      </c>
      <c r="B13" s="262"/>
      <c r="C13" s="262"/>
      <c r="D13" s="262"/>
      <c r="E13" s="262"/>
      <c r="F13" s="262"/>
      <c r="G13" s="262"/>
      <c r="H13" s="262"/>
      <c r="I13" s="262"/>
    </row>
    <row r="14" spans="1:9" ht="23.25" customHeight="1">
      <c r="A14" s="46"/>
      <c r="B14" s="46"/>
      <c r="C14" s="46"/>
      <c r="D14" s="258" t="s">
        <v>207</v>
      </c>
      <c r="E14" s="258"/>
      <c r="F14" s="258"/>
      <c r="G14" s="258"/>
      <c r="H14" s="258"/>
      <c r="I14" s="46"/>
    </row>
    <row r="15" spans="1:9" ht="12.75" customHeight="1">
      <c r="A15" s="257" t="s">
        <v>38</v>
      </c>
      <c r="B15" s="257"/>
      <c r="C15" s="257"/>
      <c r="D15" s="257"/>
      <c r="E15" s="257"/>
      <c r="F15" s="257" t="s">
        <v>153</v>
      </c>
      <c r="G15" s="257" t="s">
        <v>47</v>
      </c>
      <c r="H15" s="257"/>
      <c r="I15" s="257" t="s">
        <v>39</v>
      </c>
    </row>
    <row r="16" spans="1:9" ht="69" customHeight="1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ht="15.75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57.75" customHeight="1">
      <c r="A18" s="255" t="str">
        <f>Калькуляция!C5</f>
        <v>Кружок «Предшкольная подготовка»</v>
      </c>
      <c r="B18" s="255"/>
      <c r="C18" s="255"/>
      <c r="D18" s="255"/>
      <c r="E18" s="255"/>
      <c r="F18" s="64">
        <f>'нагрузка,ФОТ'!G8</f>
        <v>24</v>
      </c>
      <c r="G18" s="256" t="s">
        <v>211</v>
      </c>
      <c r="H18" s="256"/>
      <c r="I18" s="85">
        <f>Калькуляция!C30</f>
        <v>150</v>
      </c>
    </row>
    <row r="19" s="13" customFormat="1" ht="12.75">
      <c r="B19" s="21"/>
    </row>
    <row r="20" s="13" customFormat="1" ht="12.75">
      <c r="B20" s="21"/>
    </row>
    <row r="21" s="13" customFormat="1" ht="12.75">
      <c r="B21" s="21"/>
    </row>
    <row r="22" s="13" customFormat="1" ht="18.75" customHeight="1">
      <c r="B22" s="21"/>
    </row>
    <row r="23" s="13" customFormat="1" ht="14.25" customHeight="1">
      <c r="B23" s="21"/>
    </row>
  </sheetData>
  <sheetProtection/>
  <mergeCells count="15">
    <mergeCell ref="D14:H14"/>
    <mergeCell ref="G7:J7"/>
    <mergeCell ref="A11:I11"/>
    <mergeCell ref="G1:J1"/>
    <mergeCell ref="G2:J2"/>
    <mergeCell ref="A9:E9"/>
    <mergeCell ref="A12:I12"/>
    <mergeCell ref="A13:I13"/>
    <mergeCell ref="A18:E18"/>
    <mergeCell ref="G18:H18"/>
    <mergeCell ref="A17:I17"/>
    <mergeCell ref="I15:I16"/>
    <mergeCell ref="F15:F16"/>
    <mergeCell ref="G15:H16"/>
    <mergeCell ref="A15:E16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10.7109375" style="0" customWidth="1"/>
    <col min="2" max="2" width="12.00390625" style="0" customWidth="1"/>
    <col min="4" max="4" width="10.00390625" style="0" customWidth="1"/>
  </cols>
  <sheetData>
    <row r="1" spans="1:13" ht="18.75" customHeight="1">
      <c r="A1" s="238" t="s">
        <v>154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8.75" customHeight="1">
      <c r="A2" s="184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.75" customHeight="1">
      <c r="A3" s="239" t="s">
        <v>161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5" spans="1:14" ht="67.5" customHeight="1">
      <c r="A5" s="263" t="s">
        <v>33</v>
      </c>
      <c r="B5" s="264"/>
      <c r="C5" s="263" t="s">
        <v>155</v>
      </c>
      <c r="D5" s="264"/>
      <c r="E5" s="263" t="s">
        <v>156</v>
      </c>
      <c r="F5" s="264"/>
      <c r="G5" s="263" t="s">
        <v>157</v>
      </c>
      <c r="H5" s="264"/>
      <c r="I5" s="263" t="s">
        <v>158</v>
      </c>
      <c r="J5" s="264"/>
      <c r="K5" s="263" t="s">
        <v>159</v>
      </c>
      <c r="L5" s="264"/>
      <c r="M5" s="263" t="s">
        <v>160</v>
      </c>
      <c r="N5" s="264"/>
    </row>
    <row r="6" spans="1:14" ht="12.75" customHeight="1">
      <c r="A6" s="269">
        <v>1</v>
      </c>
      <c r="B6" s="270"/>
      <c r="C6" s="269">
        <v>2</v>
      </c>
      <c r="D6" s="270"/>
      <c r="E6" s="269">
        <v>3</v>
      </c>
      <c r="F6" s="270"/>
      <c r="G6" s="269">
        <v>4</v>
      </c>
      <c r="H6" s="270"/>
      <c r="I6" s="269">
        <v>5</v>
      </c>
      <c r="J6" s="270"/>
      <c r="K6" s="269">
        <v>6</v>
      </c>
      <c r="L6" s="270"/>
      <c r="M6" s="269">
        <v>7</v>
      </c>
      <c r="N6" s="270"/>
    </row>
    <row r="7" spans="1:14" ht="36.75" customHeight="1">
      <c r="A7" s="265" t="e">
        <f>'Комплектование групп'!#REF!</f>
        <v>#REF!</v>
      </c>
      <c r="B7" s="266"/>
      <c r="C7" s="273" t="s">
        <v>163</v>
      </c>
      <c r="D7" s="274"/>
      <c r="E7" s="275">
        <v>42351</v>
      </c>
      <c r="F7" s="276"/>
      <c r="G7" s="277">
        <f>10*12</f>
        <v>120</v>
      </c>
      <c r="H7" s="278"/>
      <c r="I7" s="279">
        <f>100/G7</f>
        <v>0.83</v>
      </c>
      <c r="J7" s="280"/>
      <c r="K7" s="277">
        <v>9</v>
      </c>
      <c r="L7" s="278"/>
      <c r="M7" s="281">
        <f>(E7*K7*I7)/100</f>
        <v>3163.62</v>
      </c>
      <c r="N7" s="282"/>
    </row>
    <row r="8" spans="1:14" ht="36.75" customHeight="1">
      <c r="A8" s="267"/>
      <c r="B8" s="268"/>
      <c r="C8" s="273" t="s">
        <v>147</v>
      </c>
      <c r="D8" s="274"/>
      <c r="E8" s="275">
        <v>28483</v>
      </c>
      <c r="F8" s="276"/>
      <c r="G8" s="277">
        <f>5*12</f>
        <v>60</v>
      </c>
      <c r="H8" s="278"/>
      <c r="I8" s="279">
        <f>100/G8</f>
        <v>1.67</v>
      </c>
      <c r="J8" s="280"/>
      <c r="K8" s="277">
        <v>9</v>
      </c>
      <c r="L8" s="278"/>
      <c r="M8" s="281">
        <f>(E8*K8*I8)/100</f>
        <v>4280.99</v>
      </c>
      <c r="N8" s="282"/>
    </row>
    <row r="9" spans="1:14" ht="17.25" customHeight="1">
      <c r="A9" s="271" t="s">
        <v>120</v>
      </c>
      <c r="B9" s="272"/>
      <c r="C9" s="271" t="s">
        <v>106</v>
      </c>
      <c r="D9" s="272"/>
      <c r="E9" s="271" t="s">
        <v>106</v>
      </c>
      <c r="F9" s="272"/>
      <c r="G9" s="271" t="s">
        <v>106</v>
      </c>
      <c r="H9" s="272"/>
      <c r="I9" s="271" t="s">
        <v>106</v>
      </c>
      <c r="J9" s="272"/>
      <c r="K9" s="271" t="s">
        <v>106</v>
      </c>
      <c r="L9" s="272"/>
      <c r="M9" s="283">
        <f>M7+M8</f>
        <v>7444.61</v>
      </c>
      <c r="N9" s="284"/>
    </row>
    <row r="15" spans="1:10" ht="15.75">
      <c r="A15" s="151" t="s">
        <v>131</v>
      </c>
      <c r="B15" s="21"/>
      <c r="C15" s="13"/>
      <c r="D15" s="13"/>
      <c r="E15" s="86"/>
      <c r="G15" s="13"/>
      <c r="H15" s="13"/>
      <c r="J15" s="151" t="s">
        <v>132</v>
      </c>
    </row>
  </sheetData>
  <sheetProtection/>
  <mergeCells count="37">
    <mergeCell ref="A9:B9"/>
    <mergeCell ref="C9:D9"/>
    <mergeCell ref="M9:N9"/>
    <mergeCell ref="C8:D8"/>
    <mergeCell ref="E8:F8"/>
    <mergeCell ref="G8:H8"/>
    <mergeCell ref="I8:J8"/>
    <mergeCell ref="K8:L8"/>
    <mergeCell ref="M8:N8"/>
    <mergeCell ref="E9:F9"/>
    <mergeCell ref="G9:H9"/>
    <mergeCell ref="I9:J9"/>
    <mergeCell ref="K9:L9"/>
    <mergeCell ref="M6:N6"/>
    <mergeCell ref="C7:D7"/>
    <mergeCell ref="E7:F7"/>
    <mergeCell ref="G7:H7"/>
    <mergeCell ref="I7:J7"/>
    <mergeCell ref="K7:L7"/>
    <mergeCell ref="M7:N7"/>
    <mergeCell ref="K5:L5"/>
    <mergeCell ref="A6:B6"/>
    <mergeCell ref="C6:D6"/>
    <mergeCell ref="E6:F6"/>
    <mergeCell ref="G6:H6"/>
    <mergeCell ref="I6:J6"/>
    <mergeCell ref="K6:L6"/>
    <mergeCell ref="M5:N5"/>
    <mergeCell ref="A7:B8"/>
    <mergeCell ref="A1:M1"/>
    <mergeCell ref="A2:M2"/>
    <mergeCell ref="A3:M3"/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13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15.57421875" style="13" customWidth="1"/>
    <col min="2" max="2" width="24.00390625" style="21" customWidth="1"/>
    <col min="3" max="3" width="6.57421875" style="13" customWidth="1"/>
    <col min="4" max="4" width="6.140625" style="13" customWidth="1"/>
    <col min="5" max="5" width="7.00390625" style="13" customWidth="1"/>
    <col min="6" max="6" width="5.28125" style="13" customWidth="1"/>
    <col min="7" max="7" width="7.28125" style="13" customWidth="1"/>
    <col min="8" max="8" width="12.28125" style="13" customWidth="1"/>
    <col min="9" max="9" width="11.140625" style="13" customWidth="1"/>
    <col min="10" max="10" width="8.28125" style="13" customWidth="1"/>
    <col min="11" max="11" width="6.7109375" style="13" customWidth="1"/>
    <col min="12" max="12" width="11.00390625" style="20" customWidth="1"/>
    <col min="13" max="16384" width="9.140625" style="13" customWidth="1"/>
  </cols>
  <sheetData>
    <row r="1" spans="1:13" ht="52.5" customHeight="1">
      <c r="A1" s="185" t="s">
        <v>204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8" ht="30.75" customHeight="1">
      <c r="A2" s="192" t="s">
        <v>27</v>
      </c>
      <c r="B2" s="192"/>
      <c r="C2" s="16">
        <v>15042</v>
      </c>
      <c r="D2" s="23"/>
      <c r="E2" s="15"/>
      <c r="F2" s="15"/>
      <c r="G2" s="15"/>
      <c r="H2" s="15"/>
    </row>
    <row r="3" spans="1:8" ht="12.75" customHeight="1">
      <c r="A3" s="22"/>
      <c r="B3" s="22"/>
      <c r="C3" s="14"/>
      <c r="D3" s="15"/>
      <c r="E3" s="15"/>
      <c r="F3" s="15"/>
      <c r="G3" s="15"/>
      <c r="H3" s="15"/>
    </row>
    <row r="4" spans="1:12" ht="14.25" customHeight="1">
      <c r="A4" s="193" t="s">
        <v>72</v>
      </c>
      <c r="B4" s="193" t="s">
        <v>15</v>
      </c>
      <c r="C4" s="186" t="s">
        <v>26</v>
      </c>
      <c r="D4" s="188" t="s">
        <v>145</v>
      </c>
      <c r="E4" s="189"/>
      <c r="F4" s="189"/>
      <c r="G4" s="189"/>
      <c r="H4" s="189"/>
      <c r="I4" s="186" t="s">
        <v>14</v>
      </c>
      <c r="J4" s="186" t="s">
        <v>41</v>
      </c>
      <c r="K4" s="186" t="s">
        <v>64</v>
      </c>
      <c r="L4" s="195" t="s">
        <v>42</v>
      </c>
    </row>
    <row r="5" spans="1:12" ht="129" customHeight="1">
      <c r="A5" s="193"/>
      <c r="B5" s="193"/>
      <c r="C5" s="187"/>
      <c r="D5" s="17" t="s">
        <v>28</v>
      </c>
      <c r="E5" s="17" t="s">
        <v>13</v>
      </c>
      <c r="F5" s="17" t="s">
        <v>43</v>
      </c>
      <c r="G5" s="17" t="s">
        <v>65</v>
      </c>
      <c r="H5" s="17" t="s">
        <v>212</v>
      </c>
      <c r="I5" s="187"/>
      <c r="J5" s="187"/>
      <c r="K5" s="187"/>
      <c r="L5" s="196"/>
    </row>
    <row r="6" spans="1:12" ht="16.5" customHeight="1">
      <c r="A6" s="190" t="s">
        <v>44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ht="42.7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/>
      <c r="G7" s="23">
        <v>6</v>
      </c>
      <c r="H7" s="75" t="s">
        <v>81</v>
      </c>
      <c r="I7" s="76" t="s">
        <v>165</v>
      </c>
      <c r="J7" s="23" t="s">
        <v>63</v>
      </c>
      <c r="K7" s="23">
        <v>10</v>
      </c>
      <c r="L7" s="23" t="s">
        <v>74</v>
      </c>
    </row>
    <row r="8" spans="1:12" ht="30">
      <c r="A8" s="48" t="s">
        <v>173</v>
      </c>
      <c r="B8" s="33" t="str">
        <f>'Комплектование групп'!B7</f>
        <v>Кружок «Предшкольная подготовка»</v>
      </c>
      <c r="C8" s="90">
        <f>'Комплектование групп'!D7</f>
        <v>1</v>
      </c>
      <c r="D8" s="176">
        <f>40/60</f>
        <v>0.67</v>
      </c>
      <c r="E8" s="90">
        <f>C8*D8</f>
        <v>0.67</v>
      </c>
      <c r="F8" s="88"/>
      <c r="G8" s="174">
        <f>E8*4*9</f>
        <v>24</v>
      </c>
      <c r="H8" s="90">
        <f>18*247/5/12</f>
        <v>74.1</v>
      </c>
      <c r="I8" s="91">
        <f>$C$2*5</f>
        <v>75210</v>
      </c>
      <c r="J8" s="92">
        <f>I8/H8</f>
        <v>1014.98</v>
      </c>
      <c r="K8" s="92"/>
      <c r="L8" s="24">
        <f>(J8+K8)*G8</f>
        <v>24359.52</v>
      </c>
    </row>
    <row r="9" spans="1:12" s="20" customFormat="1" ht="13.5" customHeight="1">
      <c r="A9" s="194" t="s">
        <v>120</v>
      </c>
      <c r="B9" s="194"/>
      <c r="C9" s="18">
        <f>SUM(C8:C8)</f>
        <v>1</v>
      </c>
      <c r="D9" s="177">
        <f>SUM(D8:D8)</f>
        <v>0.67</v>
      </c>
      <c r="E9" s="18">
        <f>SUM(E8:E8)</f>
        <v>0.67</v>
      </c>
      <c r="F9" s="18">
        <f>SUM(F8:F8)</f>
        <v>0</v>
      </c>
      <c r="G9" s="175">
        <f>SUM(G8:G8)</f>
        <v>24</v>
      </c>
      <c r="H9" s="19"/>
      <c r="I9" s="18"/>
      <c r="J9" s="24"/>
      <c r="K9" s="24"/>
      <c r="L9" s="24">
        <f>SUM(L8:L8)</f>
        <v>24359.52</v>
      </c>
    </row>
    <row r="10" ht="12.75">
      <c r="L10" s="13"/>
    </row>
    <row r="11" ht="12.75">
      <c r="L11" s="13"/>
    </row>
    <row r="12" spans="1:12" ht="18.75" customHeight="1">
      <c r="A12" s="151" t="s">
        <v>199</v>
      </c>
      <c r="J12" s="151" t="s">
        <v>168</v>
      </c>
      <c r="L12" s="13"/>
    </row>
    <row r="13" ht="14.25" customHeight="1">
      <c r="L13" s="13"/>
    </row>
  </sheetData>
  <sheetProtection/>
  <mergeCells count="12">
    <mergeCell ref="A9:B9"/>
    <mergeCell ref="J4:J5"/>
    <mergeCell ref="B4:B5"/>
    <mergeCell ref="K4:K5"/>
    <mergeCell ref="L4:L5"/>
    <mergeCell ref="I4:I5"/>
    <mergeCell ref="A1:M1"/>
    <mergeCell ref="C4:C5"/>
    <mergeCell ref="D4:H4"/>
    <mergeCell ref="A6:L6"/>
    <mergeCell ref="A2:B2"/>
    <mergeCell ref="A4:A5"/>
  </mergeCells>
  <printOptions/>
  <pageMargins left="0.3937007874015748" right="0.31496062992125984" top="0.5118110236220472" bottom="0.2755905511811024" header="0.2755905511811024" footer="0.275590551181102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K27"/>
  <sheetViews>
    <sheetView tabSelected="1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D7" sqref="D7"/>
    </sheetView>
  </sheetViews>
  <sheetFormatPr defaultColWidth="9.140625" defaultRowHeight="12.75"/>
  <cols>
    <col min="1" max="1" width="4.00390625" style="1" customWidth="1"/>
    <col min="2" max="2" width="31.00390625" style="1" customWidth="1"/>
    <col min="3" max="3" width="9.8515625" style="1" customWidth="1"/>
    <col min="4" max="4" width="21.28125" style="1" customWidth="1"/>
    <col min="5" max="6" width="8.421875" style="1" customWidth="1"/>
    <col min="7" max="7" width="16.57421875" style="1" customWidth="1"/>
    <col min="8" max="8" width="10.140625" style="10" customWidth="1"/>
    <col min="9" max="9" width="8.421875" style="10" customWidth="1"/>
    <col min="10" max="10" width="10.140625" style="10" customWidth="1"/>
    <col min="11" max="11" width="11.7109375" style="1" customWidth="1"/>
    <col min="12" max="16384" width="9.140625" style="1" customWidth="1"/>
  </cols>
  <sheetData>
    <row r="1" s="47" customFormat="1" ht="42" customHeight="1"/>
    <row r="2" spans="1:10" ht="33.75" customHeight="1">
      <c r="A2" s="185" t="s">
        <v>205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7" ht="11.25" customHeight="1">
      <c r="A3" s="199"/>
      <c r="B3" s="199"/>
      <c r="C3" s="199"/>
      <c r="D3" s="199"/>
      <c r="E3" s="199"/>
      <c r="F3" s="59"/>
      <c r="G3" s="12"/>
    </row>
    <row r="4" spans="1:10" ht="104.25" customHeight="1">
      <c r="A4" s="2" t="s">
        <v>2</v>
      </c>
      <c r="B4" s="2" t="s">
        <v>5</v>
      </c>
      <c r="C4" s="2" t="s">
        <v>6</v>
      </c>
      <c r="D4" s="3" t="s">
        <v>87</v>
      </c>
      <c r="E4" s="2" t="s">
        <v>7</v>
      </c>
      <c r="F4" s="2" t="s">
        <v>46</v>
      </c>
      <c r="G4" s="3" t="s">
        <v>8</v>
      </c>
      <c r="H4" s="66" t="s">
        <v>29</v>
      </c>
      <c r="I4" s="66" t="s">
        <v>50</v>
      </c>
      <c r="J4" s="66" t="s">
        <v>45</v>
      </c>
    </row>
    <row r="5" spans="1:10" s="10" customFormat="1" ht="13.5" customHeight="1">
      <c r="A5" s="198" t="s">
        <v>23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3.5" customHeight="1">
      <c r="A6" s="4">
        <v>1</v>
      </c>
      <c r="B6" s="61" t="s">
        <v>171</v>
      </c>
      <c r="C6" s="4"/>
      <c r="D6" s="159">
        <v>23729</v>
      </c>
      <c r="E6" s="4">
        <v>1</v>
      </c>
      <c r="F6" s="60">
        <v>0.11</v>
      </c>
      <c r="G6" s="68">
        <f>D6*E6</f>
        <v>23729</v>
      </c>
      <c r="H6" s="93">
        <f>D6*F6*E6</f>
        <v>2610.19</v>
      </c>
      <c r="I6" s="51">
        <v>9</v>
      </c>
      <c r="J6" s="93">
        <f>H6*I6</f>
        <v>23491.71</v>
      </c>
    </row>
    <row r="7" spans="1:10" ht="13.5" customHeight="1">
      <c r="A7" s="4"/>
      <c r="B7" s="61"/>
      <c r="C7" s="4"/>
      <c r="D7" s="4"/>
      <c r="E7" s="4"/>
      <c r="F7" s="60"/>
      <c r="G7" s="68"/>
      <c r="H7" s="93"/>
      <c r="I7" s="51"/>
      <c r="J7" s="93"/>
    </row>
    <row r="8" spans="1:10" ht="13.5" customHeight="1">
      <c r="A8" s="4"/>
      <c r="B8" s="4"/>
      <c r="C8" s="4"/>
      <c r="D8" s="4"/>
      <c r="E8" s="4"/>
      <c r="F8" s="4"/>
      <c r="G8" s="4"/>
      <c r="H8" s="93"/>
      <c r="I8" s="93"/>
      <c r="J8" s="93"/>
    </row>
    <row r="9" spans="1:11" s="10" customFormat="1" ht="13.5" customHeight="1">
      <c r="A9" s="7" t="s">
        <v>1</v>
      </c>
      <c r="B9" s="7" t="s">
        <v>130</v>
      </c>
      <c r="C9" s="7">
        <f>SUM(C6:C7)</f>
        <v>0</v>
      </c>
      <c r="D9" s="7"/>
      <c r="E9" s="7"/>
      <c r="F9" s="7"/>
      <c r="G9" s="7" t="s">
        <v>48</v>
      </c>
      <c r="H9" s="49">
        <f>H6+H8+H7</f>
        <v>2610.19</v>
      </c>
      <c r="I9" s="49"/>
      <c r="J9" s="49">
        <f>J6</f>
        <v>23491.71</v>
      </c>
      <c r="K9" s="8"/>
    </row>
    <row r="10" spans="1:10" s="10" customFormat="1" ht="13.5" customHeight="1">
      <c r="A10" s="200" t="s">
        <v>11</v>
      </c>
      <c r="B10" s="200"/>
      <c r="C10" s="200"/>
      <c r="D10" s="200"/>
      <c r="E10" s="200"/>
      <c r="F10" s="200"/>
      <c r="G10" s="200"/>
      <c r="H10" s="200"/>
      <c r="I10" s="200"/>
      <c r="J10" s="200"/>
    </row>
    <row r="11" spans="1:10" ht="12.75" customHeight="1">
      <c r="A11" s="4">
        <v>1</v>
      </c>
      <c r="B11" s="61"/>
      <c r="C11" s="4"/>
      <c r="D11" s="4"/>
      <c r="E11" s="4"/>
      <c r="F11" s="4"/>
      <c r="G11" s="4">
        <f>D11*E11</f>
        <v>0</v>
      </c>
      <c r="H11" s="5">
        <f>G11*C11</f>
        <v>0</v>
      </c>
      <c r="I11" s="51"/>
      <c r="J11" s="50">
        <f>H11*I11</f>
        <v>0</v>
      </c>
    </row>
    <row r="12" spans="1:10" ht="14.25" customHeight="1">
      <c r="A12" s="4">
        <v>2</v>
      </c>
      <c r="B12" s="61"/>
      <c r="C12" s="4"/>
      <c r="D12" s="4"/>
      <c r="E12" s="4"/>
      <c r="F12" s="4"/>
      <c r="G12" s="4">
        <f>D12*E12</f>
        <v>0</v>
      </c>
      <c r="H12" s="5">
        <f>G12*C12</f>
        <v>0</v>
      </c>
      <c r="I12" s="51"/>
      <c r="J12" s="50">
        <f>H12*I12</f>
        <v>0</v>
      </c>
    </row>
    <row r="13" spans="1:10" ht="18" customHeight="1">
      <c r="A13" s="4">
        <v>3</v>
      </c>
      <c r="B13" s="61"/>
      <c r="C13" s="4"/>
      <c r="D13" s="4"/>
      <c r="E13" s="4"/>
      <c r="F13" s="4"/>
      <c r="G13" s="4">
        <f>D13*E13</f>
        <v>0</v>
      </c>
      <c r="H13" s="5">
        <f>G13*C13</f>
        <v>0</v>
      </c>
      <c r="I13" s="51"/>
      <c r="J13" s="50">
        <f>H13*I13</f>
        <v>0</v>
      </c>
    </row>
    <row r="14" spans="1:10" s="10" customFormat="1" ht="24.75" customHeight="1">
      <c r="A14" s="7" t="s">
        <v>1</v>
      </c>
      <c r="B14" s="9" t="s">
        <v>9</v>
      </c>
      <c r="C14" s="7">
        <f>SUM(C11:C13)</f>
        <v>0</v>
      </c>
      <c r="D14" s="7"/>
      <c r="E14" s="7"/>
      <c r="F14" s="7"/>
      <c r="G14" s="7"/>
      <c r="H14" s="93">
        <f>SUM(H11:H13)</f>
        <v>0</v>
      </c>
      <c r="I14" s="93"/>
      <c r="J14" s="93">
        <f>SUM(J11:J13)</f>
        <v>0</v>
      </c>
    </row>
    <row r="15" spans="1:10" s="11" customFormat="1" ht="16.5" customHeight="1">
      <c r="A15" s="198" t="s">
        <v>22</v>
      </c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 ht="15.75" customHeight="1">
      <c r="A16" s="4">
        <v>1</v>
      </c>
      <c r="B16" s="61"/>
      <c r="C16" s="4"/>
      <c r="D16" s="4"/>
      <c r="E16" s="4"/>
      <c r="F16" s="4"/>
      <c r="G16" s="4">
        <f>D16*E16</f>
        <v>0</v>
      </c>
      <c r="H16" s="25">
        <f>G16*C16</f>
        <v>0</v>
      </c>
      <c r="I16" s="51"/>
      <c r="J16" s="50">
        <f>H16*I16</f>
        <v>0</v>
      </c>
    </row>
    <row r="17" spans="1:10" ht="14.25" customHeight="1">
      <c r="A17" s="4">
        <v>2</v>
      </c>
      <c r="B17" s="61"/>
      <c r="C17" s="4"/>
      <c r="D17" s="4"/>
      <c r="E17" s="4"/>
      <c r="F17" s="4"/>
      <c r="G17" s="4">
        <f>D17*E17</f>
        <v>0</v>
      </c>
      <c r="H17" s="25">
        <f>G17*C17</f>
        <v>0</v>
      </c>
      <c r="I17" s="51"/>
      <c r="J17" s="50">
        <f>H17*I17</f>
        <v>0</v>
      </c>
    </row>
    <row r="18" spans="1:10" s="10" customFormat="1" ht="12" customHeight="1">
      <c r="A18" s="7"/>
      <c r="B18" s="7" t="s">
        <v>10</v>
      </c>
      <c r="C18" s="7">
        <f>SUM(A18:B18)</f>
        <v>0</v>
      </c>
      <c r="D18" s="7"/>
      <c r="E18" s="7"/>
      <c r="F18" s="7"/>
      <c r="G18" s="7"/>
      <c r="H18" s="94">
        <f>SUM(H16:H17)</f>
        <v>0</v>
      </c>
      <c r="I18" s="94"/>
      <c r="J18" s="94">
        <f>SUM(J16:J17)</f>
        <v>0</v>
      </c>
    </row>
    <row r="19" spans="1:10" ht="14.25" customHeight="1">
      <c r="A19" s="198" t="s">
        <v>12</v>
      </c>
      <c r="B19" s="198"/>
      <c r="C19" s="65">
        <f>C9+C14+C18</f>
        <v>0</v>
      </c>
      <c r="D19" s="5"/>
      <c r="E19" s="5"/>
      <c r="F19" s="5"/>
      <c r="G19" s="5"/>
      <c r="H19" s="93">
        <f>H8+H14+H18</f>
        <v>0</v>
      </c>
      <c r="I19" s="93">
        <v>9</v>
      </c>
      <c r="J19" s="93">
        <f>J7</f>
        <v>0</v>
      </c>
    </row>
    <row r="20" spans="1:10" ht="12.75">
      <c r="A20" s="201" t="s">
        <v>49</v>
      </c>
      <c r="B20" s="202"/>
      <c r="C20" s="6"/>
      <c r="D20" s="6"/>
      <c r="E20" s="6"/>
      <c r="F20" s="6"/>
      <c r="G20" s="6"/>
      <c r="H20" s="49">
        <f>H19+H9</f>
        <v>2610.19</v>
      </c>
      <c r="I20" s="5"/>
      <c r="J20" s="49">
        <f>J19+J9</f>
        <v>23491.71</v>
      </c>
    </row>
    <row r="21" spans="1:10" ht="25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</row>
    <row r="22" spans="2:8" s="13" customFormat="1" ht="21" customHeight="1">
      <c r="B22" s="151" t="s">
        <v>167</v>
      </c>
      <c r="C22" s="21"/>
      <c r="H22" s="151" t="s">
        <v>168</v>
      </c>
    </row>
    <row r="23" s="13" customFormat="1" ht="12.75">
      <c r="B23" s="21"/>
    </row>
    <row r="24" s="13" customFormat="1" ht="12.75">
      <c r="B24" s="21"/>
    </row>
    <row r="25" s="13" customFormat="1" ht="12.75">
      <c r="B25" s="21"/>
    </row>
    <row r="26" s="13" customFormat="1" ht="18.75" customHeight="1">
      <c r="B26" s="21"/>
    </row>
    <row r="27" s="13" customFormat="1" ht="14.25" customHeight="1">
      <c r="B27" s="21"/>
    </row>
  </sheetData>
  <sheetProtection/>
  <mergeCells count="8">
    <mergeCell ref="A2:J2"/>
    <mergeCell ref="A21:J21"/>
    <mergeCell ref="A5:J5"/>
    <mergeCell ref="A3:E3"/>
    <mergeCell ref="A19:B19"/>
    <mergeCell ref="A10:J10"/>
    <mergeCell ref="A15:J15"/>
    <mergeCell ref="A20:B20"/>
  </mergeCells>
  <printOptions/>
  <pageMargins left="0.2755905511811024" right="0.2755905511811024" top="0.35433070866141736" bottom="0.31496062992125984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6"/>
  <sheetViews>
    <sheetView zoomScalePageLayoutView="0" workbookViewId="0" topLeftCell="A10">
      <selection activeCell="B17" sqref="B17"/>
    </sheetView>
  </sheetViews>
  <sheetFormatPr defaultColWidth="9.140625" defaultRowHeight="12.75"/>
  <cols>
    <col min="1" max="1" width="36.140625" style="69" customWidth="1"/>
    <col min="2" max="2" width="13.8515625" style="69" customWidth="1"/>
    <col min="3" max="3" width="13.7109375" style="69" customWidth="1"/>
    <col min="4" max="4" width="15.421875" style="69" customWidth="1"/>
    <col min="5" max="5" width="14.140625" style="69" customWidth="1"/>
    <col min="6" max="6" width="13.28125" style="69" customWidth="1"/>
    <col min="7" max="7" width="12.421875" style="69" customWidth="1"/>
    <col min="8" max="8" width="12.7109375" style="69" customWidth="1"/>
    <col min="9" max="9" width="24.57421875" style="69" customWidth="1"/>
    <col min="10" max="10" width="8.7109375" style="69" customWidth="1"/>
    <col min="11" max="16384" width="9.140625" style="69" customWidth="1"/>
  </cols>
  <sheetData>
    <row r="1" spans="1:8" ht="41.25" customHeight="1">
      <c r="A1" s="184" t="s">
        <v>134</v>
      </c>
      <c r="B1" s="184"/>
      <c r="C1" s="184"/>
      <c r="D1" s="184"/>
      <c r="E1" s="184"/>
      <c r="F1" s="184"/>
      <c r="G1" s="184"/>
      <c r="H1" s="184"/>
    </row>
    <row r="2" spans="1:10" ht="18.75" customHeight="1">
      <c r="A2" s="208" t="s">
        <v>206</v>
      </c>
      <c r="B2" s="208"/>
      <c r="C2" s="208"/>
      <c r="D2" s="208"/>
      <c r="E2" s="208"/>
      <c r="F2" s="208"/>
      <c r="G2" s="208"/>
      <c r="H2" s="208"/>
      <c r="I2" s="26"/>
      <c r="J2" s="26"/>
    </row>
    <row r="3" spans="1:10" ht="15.75" customHeight="1">
      <c r="A3" s="27"/>
      <c r="B3" s="204"/>
      <c r="C3" s="209"/>
      <c r="D3" s="210" t="s">
        <v>82</v>
      </c>
      <c r="E3" s="210"/>
      <c r="F3" s="210"/>
      <c r="G3" s="204"/>
      <c r="I3" s="203"/>
      <c r="J3" s="203"/>
    </row>
    <row r="4" spans="1:10" ht="51" customHeight="1">
      <c r="A4" s="214" t="s">
        <v>135</v>
      </c>
      <c r="B4" s="204"/>
      <c r="C4" s="209"/>
      <c r="D4" s="211"/>
      <c r="E4" s="211"/>
      <c r="F4" s="211"/>
      <c r="G4" s="204"/>
      <c r="I4" s="203"/>
      <c r="J4" s="203"/>
    </row>
    <row r="5" spans="1:10" ht="15.75" customHeight="1">
      <c r="A5" s="214"/>
      <c r="B5" s="28"/>
      <c r="C5" s="28"/>
      <c r="D5" s="28">
        <v>2022</v>
      </c>
      <c r="E5" s="28"/>
      <c r="F5" s="28"/>
      <c r="G5" s="28"/>
      <c r="H5" s="55"/>
      <c r="I5" s="55"/>
      <c r="J5" s="55"/>
    </row>
    <row r="6" spans="1:10" ht="15.75">
      <c r="A6" s="30" t="s">
        <v>21</v>
      </c>
      <c r="B6" s="30"/>
      <c r="C6" s="30"/>
      <c r="D6" s="30" t="s">
        <v>54</v>
      </c>
      <c r="E6" s="30"/>
      <c r="F6" s="30"/>
      <c r="G6" s="30"/>
      <c r="H6" s="56"/>
      <c r="I6" s="56"/>
      <c r="J6" s="56"/>
    </row>
    <row r="7" spans="1:10" ht="15.75">
      <c r="A7" s="27">
        <v>2022</v>
      </c>
      <c r="B7" s="97"/>
      <c r="C7" s="97"/>
      <c r="D7" s="97">
        <v>113160.5</v>
      </c>
      <c r="E7" s="98"/>
      <c r="F7" s="98">
        <v>0</v>
      </c>
      <c r="G7" s="97">
        <v>0</v>
      </c>
      <c r="H7" s="57"/>
      <c r="I7" s="57"/>
      <c r="J7" s="57"/>
    </row>
    <row r="8" spans="1:10" ht="15.75">
      <c r="A8" s="29" t="s">
        <v>12</v>
      </c>
      <c r="B8" s="99">
        <f aca="true" t="shared" si="0" ref="B8:G8">SUM(B7:B7)</f>
        <v>0</v>
      </c>
      <c r="C8" s="99">
        <f t="shared" si="0"/>
        <v>0</v>
      </c>
      <c r="D8" s="99">
        <f t="shared" si="0"/>
        <v>113160.5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58"/>
      <c r="I8" s="58"/>
      <c r="J8" s="58"/>
    </row>
    <row r="9" spans="1:11" ht="34.5" customHeight="1">
      <c r="A9" s="29" t="s">
        <v>24</v>
      </c>
      <c r="B9" s="205"/>
      <c r="C9" s="206"/>
      <c r="D9" s="206"/>
      <c r="E9" s="206"/>
      <c r="F9" s="207"/>
      <c r="G9" s="67">
        <f>F7+E7+D7+C7+B7+G7</f>
        <v>113160.5</v>
      </c>
      <c r="I9" s="216"/>
      <c r="J9" s="217"/>
      <c r="K9" s="70"/>
    </row>
    <row r="10" spans="1:10" ht="31.5">
      <c r="A10" s="29" t="s">
        <v>210</v>
      </c>
      <c r="B10" s="100">
        <f>G9*1.045</f>
        <v>118252.7</v>
      </c>
      <c r="C10" s="27"/>
      <c r="D10" s="27"/>
      <c r="E10" s="27"/>
      <c r="F10" s="27"/>
      <c r="G10" s="27"/>
      <c r="I10" s="218"/>
      <c r="J10" s="218"/>
    </row>
    <row r="11" spans="1:10" ht="24" customHeight="1">
      <c r="A11" s="219" t="s">
        <v>55</v>
      </c>
      <c r="B11" s="220"/>
      <c r="C11" s="220"/>
      <c r="D11" s="220"/>
      <c r="E11" s="220"/>
      <c r="F11" s="221"/>
      <c r="G11" s="95">
        <v>4003.2</v>
      </c>
      <c r="I11" s="71"/>
      <c r="J11" s="71"/>
    </row>
    <row r="12" spans="1:10" ht="24" customHeight="1">
      <c r="A12" s="222" t="s">
        <v>56</v>
      </c>
      <c r="B12" s="223"/>
      <c r="C12" s="223"/>
      <c r="D12" s="223"/>
      <c r="E12" s="223"/>
      <c r="F12" s="224"/>
      <c r="G12" s="95">
        <f>B10/G11/12</f>
        <v>2.46</v>
      </c>
      <c r="I12" s="71"/>
      <c r="J12" s="71"/>
    </row>
    <row r="13" spans="1:10" ht="58.5" customHeight="1">
      <c r="A13" s="210" t="s">
        <v>57</v>
      </c>
      <c r="B13" s="160" t="s">
        <v>172</v>
      </c>
      <c r="C13" s="160"/>
      <c r="D13" s="160"/>
      <c r="E13" s="160"/>
      <c r="F13" s="160"/>
      <c r="G13" s="160"/>
      <c r="I13" s="71"/>
      <c r="J13" s="71"/>
    </row>
    <row r="14" spans="1:10" ht="21" customHeight="1">
      <c r="A14" s="211"/>
      <c r="B14" s="158">
        <v>48.4</v>
      </c>
      <c r="C14" s="158"/>
      <c r="D14" s="158"/>
      <c r="E14" s="158"/>
      <c r="F14" s="158"/>
      <c r="G14" s="158"/>
      <c r="I14" s="71"/>
      <c r="J14" s="71"/>
    </row>
    <row r="15" spans="1:10" ht="78.75" customHeight="1">
      <c r="A15" s="72" t="s">
        <v>58</v>
      </c>
      <c r="B15" s="182">
        <v>9</v>
      </c>
      <c r="C15" s="28"/>
      <c r="D15" s="28"/>
      <c r="E15" s="28"/>
      <c r="F15" s="27"/>
      <c r="G15" s="27"/>
      <c r="I15" s="71"/>
      <c r="J15" s="71"/>
    </row>
    <row r="16" spans="1:10" ht="52.5" customHeight="1">
      <c r="A16" s="72" t="s">
        <v>59</v>
      </c>
      <c r="B16" s="182">
        <v>9</v>
      </c>
      <c r="C16" s="28"/>
      <c r="D16" s="28"/>
      <c r="E16" s="28"/>
      <c r="F16" s="27"/>
      <c r="G16" s="27"/>
      <c r="I16" s="71"/>
      <c r="J16" s="71"/>
    </row>
    <row r="17" spans="1:10" ht="28.5">
      <c r="A17" s="72" t="s">
        <v>60</v>
      </c>
      <c r="B17" s="173">
        <f>(B14*G12)/(B15+B16)</f>
        <v>6.6</v>
      </c>
      <c r="C17" s="173"/>
      <c r="D17" s="173"/>
      <c r="E17" s="173"/>
      <c r="F17" s="89"/>
      <c r="G17" s="84"/>
      <c r="I17" s="71"/>
      <c r="J17" s="71"/>
    </row>
    <row r="18" spans="1:10" ht="28.5" customHeight="1">
      <c r="A18" s="212" t="s">
        <v>174</v>
      </c>
      <c r="B18" s="213"/>
      <c r="C18" s="213"/>
      <c r="D18" s="213"/>
      <c r="E18" s="213"/>
      <c r="F18" s="213"/>
      <c r="G18" s="213"/>
      <c r="H18" s="96">
        <f>'нагрузка,ФОТ'!G8/9</f>
        <v>2.67</v>
      </c>
      <c r="I18" s="73"/>
      <c r="J18" s="74"/>
    </row>
    <row r="19" spans="1:8" ht="30" customHeight="1">
      <c r="A19" s="215" t="s">
        <v>175</v>
      </c>
      <c r="B19" s="215"/>
      <c r="C19" s="215"/>
      <c r="D19" s="215"/>
      <c r="E19" s="215"/>
      <c r="F19" s="215"/>
      <c r="G19" s="215"/>
      <c r="H19" s="161">
        <f>(B17+C17)/H18</f>
        <v>2.47</v>
      </c>
    </row>
    <row r="21" spans="1:7" s="13" customFormat="1" ht="21" customHeight="1">
      <c r="A21" s="151" t="s">
        <v>167</v>
      </c>
      <c r="B21" s="21"/>
      <c r="G21" s="151" t="s">
        <v>168</v>
      </c>
    </row>
    <row r="22" s="13" customFormat="1" ht="12.75">
      <c r="B22" s="21"/>
    </row>
    <row r="23" s="13" customFormat="1" ht="12.75">
      <c r="B23" s="21"/>
    </row>
    <row r="24" s="13" customFormat="1" ht="12.75">
      <c r="B24" s="21"/>
    </row>
    <row r="25" s="13" customFormat="1" ht="18.75" customHeight="1">
      <c r="B25" s="21"/>
    </row>
    <row r="26" s="13" customFormat="1" ht="14.25" customHeight="1">
      <c r="B26" s="21"/>
    </row>
  </sheetData>
  <sheetProtection/>
  <mergeCells count="18">
    <mergeCell ref="A18:G18"/>
    <mergeCell ref="E3:E4"/>
    <mergeCell ref="A4:A5"/>
    <mergeCell ref="A13:A14"/>
    <mergeCell ref="A19:G19"/>
    <mergeCell ref="I9:J9"/>
    <mergeCell ref="I10:J10"/>
    <mergeCell ref="A11:F11"/>
    <mergeCell ref="A12:F12"/>
    <mergeCell ref="F3:F4"/>
    <mergeCell ref="I3:J4"/>
    <mergeCell ref="B3:B4"/>
    <mergeCell ref="B9:F9"/>
    <mergeCell ref="A1:H1"/>
    <mergeCell ref="A2:H2"/>
    <mergeCell ref="G3:G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1"/>
  <sheetViews>
    <sheetView zoomScalePageLayoutView="0" workbookViewId="0" topLeftCell="A7">
      <selection activeCell="B17" sqref="B17"/>
    </sheetView>
  </sheetViews>
  <sheetFormatPr defaultColWidth="9.140625" defaultRowHeight="12.75"/>
  <cols>
    <col min="1" max="1" width="36.140625" style="69" customWidth="1"/>
    <col min="2" max="2" width="13.8515625" style="69" customWidth="1"/>
    <col min="3" max="3" width="13.7109375" style="69" customWidth="1"/>
    <col min="4" max="4" width="15.421875" style="69" customWidth="1"/>
    <col min="5" max="5" width="18.00390625" style="69" customWidth="1"/>
    <col min="6" max="6" width="13.28125" style="69" customWidth="1"/>
    <col min="7" max="7" width="12.421875" style="69" customWidth="1"/>
    <col min="8" max="8" width="12.7109375" style="69" customWidth="1"/>
    <col min="9" max="9" width="24.57421875" style="69" customWidth="1"/>
    <col min="10" max="10" width="8.7109375" style="69" customWidth="1"/>
    <col min="11" max="16384" width="9.140625" style="69" customWidth="1"/>
  </cols>
  <sheetData>
    <row r="1" spans="1:8" ht="41.25" customHeight="1">
      <c r="A1" s="184" t="s">
        <v>134</v>
      </c>
      <c r="B1" s="184"/>
      <c r="C1" s="184"/>
      <c r="D1" s="184"/>
      <c r="E1" s="184"/>
      <c r="F1" s="184"/>
      <c r="G1" s="184"/>
      <c r="H1" s="184"/>
    </row>
    <row r="2" spans="1:10" ht="18.75" customHeight="1">
      <c r="A2" s="208" t="s">
        <v>206</v>
      </c>
      <c r="B2" s="208"/>
      <c r="C2" s="208"/>
      <c r="D2" s="208"/>
      <c r="E2" s="208"/>
      <c r="F2" s="208"/>
      <c r="G2" s="208"/>
      <c r="H2" s="208"/>
      <c r="I2" s="26"/>
      <c r="J2" s="26"/>
    </row>
    <row r="3" spans="1:10" ht="15.75" customHeight="1">
      <c r="A3" s="27"/>
      <c r="B3" s="204" t="s">
        <v>30</v>
      </c>
      <c r="C3" s="209"/>
      <c r="D3" s="210"/>
      <c r="E3" s="210"/>
      <c r="F3" s="210"/>
      <c r="G3" s="204"/>
      <c r="I3" s="203"/>
      <c r="J3" s="203"/>
    </row>
    <row r="4" spans="1:10" ht="51" customHeight="1">
      <c r="A4" s="214" t="s">
        <v>135</v>
      </c>
      <c r="B4" s="204"/>
      <c r="C4" s="209"/>
      <c r="D4" s="211"/>
      <c r="E4" s="211"/>
      <c r="F4" s="211"/>
      <c r="G4" s="204"/>
      <c r="I4" s="203"/>
      <c r="J4" s="203"/>
    </row>
    <row r="5" spans="1:10" ht="15" customHeight="1">
      <c r="A5" s="214"/>
      <c r="B5" s="28">
        <v>2022</v>
      </c>
      <c r="C5" s="28"/>
      <c r="D5" s="28"/>
      <c r="E5" s="28"/>
      <c r="F5" s="28"/>
      <c r="G5" s="28"/>
      <c r="H5" s="55"/>
      <c r="I5" s="55"/>
      <c r="J5" s="55"/>
    </row>
    <row r="6" spans="1:10" ht="15.75">
      <c r="A6" s="30" t="s">
        <v>21</v>
      </c>
      <c r="B6" s="30" t="s">
        <v>54</v>
      </c>
      <c r="C6" s="30"/>
      <c r="D6" s="30"/>
      <c r="E6" s="30"/>
      <c r="F6" s="30"/>
      <c r="G6" s="30"/>
      <c r="H6" s="56"/>
      <c r="I6" s="56"/>
      <c r="J6" s="56"/>
    </row>
    <row r="7" spans="1:10" ht="15.75">
      <c r="A7" s="27">
        <v>2022</v>
      </c>
      <c r="B7" s="97">
        <v>803712.2</v>
      </c>
      <c r="C7" s="97"/>
      <c r="D7" s="97"/>
      <c r="E7" s="98"/>
      <c r="F7" s="98"/>
      <c r="G7" s="97"/>
      <c r="H7" s="57"/>
      <c r="I7" s="57"/>
      <c r="J7" s="57"/>
    </row>
    <row r="8" spans="1:10" ht="15.75">
      <c r="A8" s="29" t="s">
        <v>12</v>
      </c>
      <c r="B8" s="99">
        <f aca="true" t="shared" si="0" ref="B8:G8">SUM(B7:B7)</f>
        <v>803712.2</v>
      </c>
      <c r="C8" s="99">
        <f t="shared" si="0"/>
        <v>0</v>
      </c>
      <c r="D8" s="99">
        <f t="shared" si="0"/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58"/>
      <c r="I8" s="58"/>
      <c r="J8" s="58"/>
    </row>
    <row r="9" spans="1:11" ht="34.5" customHeight="1">
      <c r="A9" s="29" t="s">
        <v>24</v>
      </c>
      <c r="B9" s="205"/>
      <c r="C9" s="206"/>
      <c r="D9" s="206"/>
      <c r="E9" s="206"/>
      <c r="F9" s="207"/>
      <c r="G9" s="67">
        <f>F7+E7+D7+C7+B7+G7</f>
        <v>803712.2</v>
      </c>
      <c r="I9" s="216"/>
      <c r="J9" s="217"/>
      <c r="K9" s="70"/>
    </row>
    <row r="10" spans="1:10" ht="31.5">
      <c r="A10" s="29" t="s">
        <v>208</v>
      </c>
      <c r="B10" s="100">
        <f>G9*1.068</f>
        <v>858364.6</v>
      </c>
      <c r="C10" s="27"/>
      <c r="D10" s="27"/>
      <c r="E10" s="27"/>
      <c r="F10" s="27"/>
      <c r="G10" s="27"/>
      <c r="I10" s="218"/>
      <c r="J10" s="218"/>
    </row>
    <row r="11" spans="1:10" ht="24" customHeight="1">
      <c r="A11" s="219" t="s">
        <v>55</v>
      </c>
      <c r="B11" s="220"/>
      <c r="C11" s="220"/>
      <c r="D11" s="220"/>
      <c r="E11" s="220"/>
      <c r="F11" s="221"/>
      <c r="G11" s="95">
        <v>4003.2</v>
      </c>
      <c r="I11" s="71"/>
      <c r="J11" s="71"/>
    </row>
    <row r="12" spans="1:10" ht="24" customHeight="1">
      <c r="A12" s="222" t="s">
        <v>56</v>
      </c>
      <c r="B12" s="223"/>
      <c r="C12" s="223"/>
      <c r="D12" s="223"/>
      <c r="E12" s="223"/>
      <c r="F12" s="224"/>
      <c r="G12" s="95">
        <f>B10/G11/12</f>
        <v>17.87</v>
      </c>
      <c r="I12" s="71"/>
      <c r="J12" s="71"/>
    </row>
    <row r="13" spans="1:10" ht="58.5" customHeight="1">
      <c r="A13" s="210" t="s">
        <v>57</v>
      </c>
      <c r="B13" s="160" t="s">
        <v>172</v>
      </c>
      <c r="C13" s="160"/>
      <c r="D13" s="160"/>
      <c r="E13" s="160"/>
      <c r="F13" s="160"/>
      <c r="G13" s="160"/>
      <c r="I13" s="71"/>
      <c r="J13" s="71"/>
    </row>
    <row r="14" spans="1:10" ht="21" customHeight="1">
      <c r="A14" s="211"/>
      <c r="B14" s="158">
        <v>48.4</v>
      </c>
      <c r="C14" s="158"/>
      <c r="D14" s="158"/>
      <c r="E14" s="158"/>
      <c r="F14" s="158"/>
      <c r="G14" s="158"/>
      <c r="I14" s="71"/>
      <c r="J14" s="71"/>
    </row>
    <row r="15" spans="1:10" ht="78.75" customHeight="1">
      <c r="A15" s="72" t="s">
        <v>58</v>
      </c>
      <c r="B15" s="182">
        <v>9</v>
      </c>
      <c r="C15" s="28"/>
      <c r="D15" s="28"/>
      <c r="E15" s="28"/>
      <c r="F15" s="27"/>
      <c r="G15" s="27"/>
      <c r="I15" s="71"/>
      <c r="J15" s="71"/>
    </row>
    <row r="16" spans="1:10" ht="52.5" customHeight="1">
      <c r="A16" s="72" t="s">
        <v>59</v>
      </c>
      <c r="B16" s="182">
        <v>9</v>
      </c>
      <c r="C16" s="28"/>
      <c r="D16" s="28"/>
      <c r="E16" s="28"/>
      <c r="F16" s="27"/>
      <c r="G16" s="27"/>
      <c r="I16" s="71"/>
      <c r="J16" s="71"/>
    </row>
    <row r="17" spans="1:10" ht="28.5">
      <c r="A17" s="72" t="s">
        <v>60</v>
      </c>
      <c r="B17" s="173">
        <f>(B14*G12)/(B15+B16)</f>
        <v>48.1</v>
      </c>
      <c r="C17" s="173"/>
      <c r="D17" s="173"/>
      <c r="E17" s="173"/>
      <c r="F17" s="89"/>
      <c r="G17" s="84"/>
      <c r="I17" s="71"/>
      <c r="J17" s="71"/>
    </row>
    <row r="18" spans="1:10" ht="28.5" customHeight="1">
      <c r="A18" s="212" t="s">
        <v>174</v>
      </c>
      <c r="B18" s="213"/>
      <c r="C18" s="213"/>
      <c r="D18" s="213"/>
      <c r="E18" s="213"/>
      <c r="F18" s="213"/>
      <c r="G18" s="213"/>
      <c r="H18" s="96">
        <f>'нагрузка,ФОТ'!G8/9</f>
        <v>2.67</v>
      </c>
      <c r="I18" s="73"/>
      <c r="J18" s="74"/>
    </row>
    <row r="19" spans="1:8" ht="30" customHeight="1">
      <c r="A19" s="215" t="s">
        <v>175</v>
      </c>
      <c r="B19" s="215"/>
      <c r="C19" s="215"/>
      <c r="D19" s="215"/>
      <c r="E19" s="215"/>
      <c r="F19" s="215"/>
      <c r="G19" s="215"/>
      <c r="H19" s="161">
        <f>B17/H18</f>
        <v>18.01</v>
      </c>
    </row>
    <row r="20" ht="12.75"/>
    <row r="21" spans="1:7" s="13" customFormat="1" ht="21" customHeight="1">
      <c r="A21" s="151" t="s">
        <v>167</v>
      </c>
      <c r="B21" s="21"/>
      <c r="G21" s="151" t="s">
        <v>168</v>
      </c>
    </row>
  </sheetData>
  <sheetProtection/>
  <mergeCells count="18">
    <mergeCell ref="A19:G19"/>
    <mergeCell ref="B3:B4"/>
    <mergeCell ref="C3:C4"/>
    <mergeCell ref="G3:G4"/>
    <mergeCell ref="A1:H1"/>
    <mergeCell ref="A2:H2"/>
    <mergeCell ref="B9:F9"/>
    <mergeCell ref="E3:E4"/>
    <mergeCell ref="F3:F4"/>
    <mergeCell ref="A4:A5"/>
    <mergeCell ref="I3:J4"/>
    <mergeCell ref="I9:J9"/>
    <mergeCell ref="I10:J10"/>
    <mergeCell ref="D3:D4"/>
    <mergeCell ref="A13:A14"/>
    <mergeCell ref="A18:G18"/>
    <mergeCell ref="A11:F11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6.140625" style="69" customWidth="1"/>
    <col min="2" max="2" width="13.8515625" style="69" customWidth="1"/>
    <col min="3" max="3" width="13.7109375" style="69" customWidth="1"/>
    <col min="4" max="4" width="15.421875" style="69" customWidth="1"/>
    <col min="5" max="5" width="18.00390625" style="69" customWidth="1"/>
    <col min="6" max="6" width="13.28125" style="69" customWidth="1"/>
    <col min="7" max="7" width="12.421875" style="69" customWidth="1"/>
    <col min="8" max="8" width="12.7109375" style="69" customWidth="1"/>
    <col min="9" max="9" width="24.57421875" style="69" customWidth="1"/>
    <col min="10" max="10" width="8.7109375" style="69" customWidth="1"/>
    <col min="11" max="16384" width="9.140625" style="69" customWidth="1"/>
  </cols>
  <sheetData>
    <row r="1" spans="1:8" ht="41.25" customHeight="1">
      <c r="A1" s="184" t="s">
        <v>134</v>
      </c>
      <c r="B1" s="184"/>
      <c r="C1" s="184"/>
      <c r="D1" s="184"/>
      <c r="E1" s="184"/>
      <c r="F1" s="184"/>
      <c r="G1" s="184"/>
      <c r="H1" s="184"/>
    </row>
    <row r="2" spans="1:10" ht="18.75" customHeight="1">
      <c r="A2" s="208" t="s">
        <v>206</v>
      </c>
      <c r="B2" s="208"/>
      <c r="C2" s="208"/>
      <c r="D2" s="208"/>
      <c r="E2" s="208"/>
      <c r="F2" s="208"/>
      <c r="G2" s="208"/>
      <c r="H2" s="208"/>
      <c r="I2" s="26"/>
      <c r="J2" s="26"/>
    </row>
    <row r="3" spans="1:10" ht="15.75" customHeight="1">
      <c r="A3" s="27"/>
      <c r="B3" s="204" t="s">
        <v>30</v>
      </c>
      <c r="C3" s="209" t="s">
        <v>83</v>
      </c>
      <c r="D3" s="210" t="s">
        <v>82</v>
      </c>
      <c r="E3" s="210" t="s">
        <v>51</v>
      </c>
      <c r="F3" s="210" t="s">
        <v>52</v>
      </c>
      <c r="G3" s="204" t="s">
        <v>53</v>
      </c>
      <c r="I3" s="203"/>
      <c r="J3" s="203"/>
    </row>
    <row r="4" spans="1:10" ht="51" customHeight="1">
      <c r="A4" s="214" t="s">
        <v>135</v>
      </c>
      <c r="B4" s="204"/>
      <c r="C4" s="209"/>
      <c r="D4" s="211"/>
      <c r="E4" s="211"/>
      <c r="F4" s="211"/>
      <c r="G4" s="204"/>
      <c r="I4" s="203"/>
      <c r="J4" s="203"/>
    </row>
    <row r="5" spans="1:10" ht="16.5" customHeight="1">
      <c r="A5" s="214"/>
      <c r="B5" s="28"/>
      <c r="C5" s="28"/>
      <c r="D5" s="28"/>
      <c r="E5" s="28"/>
      <c r="F5" s="28"/>
      <c r="G5" s="28">
        <v>2022</v>
      </c>
      <c r="H5" s="55"/>
      <c r="I5" s="55"/>
      <c r="J5" s="55"/>
    </row>
    <row r="6" spans="1:10" ht="15.75">
      <c r="A6" s="30" t="s">
        <v>21</v>
      </c>
      <c r="B6" s="30"/>
      <c r="C6" s="30"/>
      <c r="D6" s="30"/>
      <c r="E6" s="30"/>
      <c r="F6" s="30"/>
      <c r="G6" s="30" t="s">
        <v>54</v>
      </c>
      <c r="H6" s="56"/>
      <c r="I6" s="56"/>
      <c r="J6" s="56"/>
    </row>
    <row r="7" spans="1:10" ht="15.75">
      <c r="A7" s="27">
        <v>2022</v>
      </c>
      <c r="B7" s="97"/>
      <c r="C7" s="97"/>
      <c r="D7" s="97"/>
      <c r="E7" s="98"/>
      <c r="F7" s="98"/>
      <c r="G7" s="97">
        <v>1041376.6</v>
      </c>
      <c r="H7" s="57"/>
      <c r="I7" s="57"/>
      <c r="J7" s="57"/>
    </row>
    <row r="8" spans="1:10" ht="15.75">
      <c r="A8" s="29" t="s">
        <v>12</v>
      </c>
      <c r="B8" s="99">
        <f aca="true" t="shared" si="0" ref="B8:G8">SUM(B7:B7)</f>
        <v>0</v>
      </c>
      <c r="C8" s="99">
        <f t="shared" si="0"/>
        <v>0</v>
      </c>
      <c r="D8" s="99">
        <f t="shared" si="0"/>
        <v>0</v>
      </c>
      <c r="E8" s="99">
        <f t="shared" si="0"/>
        <v>0</v>
      </c>
      <c r="F8" s="99">
        <f t="shared" si="0"/>
        <v>0</v>
      </c>
      <c r="G8" s="99">
        <f t="shared" si="0"/>
        <v>1041376.6</v>
      </c>
      <c r="H8" s="58"/>
      <c r="I8" s="58"/>
      <c r="J8" s="58"/>
    </row>
    <row r="9" spans="1:11" ht="34.5" customHeight="1">
      <c r="A9" s="29" t="s">
        <v>24</v>
      </c>
      <c r="B9" s="205"/>
      <c r="C9" s="206"/>
      <c r="D9" s="206"/>
      <c r="E9" s="206"/>
      <c r="F9" s="207"/>
      <c r="G9" s="67">
        <f>F7+E7+D7+C7+B7+G7</f>
        <v>1041376.6</v>
      </c>
      <c r="I9" s="216"/>
      <c r="J9" s="217"/>
      <c r="K9" s="70"/>
    </row>
    <row r="10" spans="1:10" ht="31.5">
      <c r="A10" s="29" t="s">
        <v>209</v>
      </c>
      <c r="B10" s="100">
        <f>G9*1.042</f>
        <v>1085114.4</v>
      </c>
      <c r="C10" s="27"/>
      <c r="D10" s="27"/>
      <c r="E10" s="27"/>
      <c r="F10" s="27"/>
      <c r="G10" s="27"/>
      <c r="I10" s="218"/>
      <c r="J10" s="218"/>
    </row>
    <row r="11" spans="1:10" ht="24" customHeight="1">
      <c r="A11" s="219" t="s">
        <v>55</v>
      </c>
      <c r="B11" s="220"/>
      <c r="C11" s="220"/>
      <c r="D11" s="220"/>
      <c r="E11" s="220"/>
      <c r="F11" s="221"/>
      <c r="G11" s="95">
        <v>4003.2</v>
      </c>
      <c r="I11" s="71"/>
      <c r="J11" s="71"/>
    </row>
    <row r="12" spans="1:10" ht="24" customHeight="1">
      <c r="A12" s="222" t="s">
        <v>56</v>
      </c>
      <c r="B12" s="223"/>
      <c r="C12" s="223"/>
      <c r="D12" s="223"/>
      <c r="E12" s="223"/>
      <c r="F12" s="224"/>
      <c r="G12" s="95">
        <f>B10/G11/12</f>
        <v>22.59</v>
      </c>
      <c r="I12" s="71"/>
      <c r="J12" s="71"/>
    </row>
    <row r="13" spans="1:10" ht="58.5" customHeight="1">
      <c r="A13" s="210" t="s">
        <v>57</v>
      </c>
      <c r="B13" s="160" t="s">
        <v>172</v>
      </c>
      <c r="C13" s="160"/>
      <c r="D13" s="160"/>
      <c r="E13" s="160"/>
      <c r="F13" s="160"/>
      <c r="G13" s="160"/>
      <c r="I13" s="71"/>
      <c r="J13" s="71"/>
    </row>
    <row r="14" spans="1:10" ht="21" customHeight="1">
      <c r="A14" s="211"/>
      <c r="B14" s="158">
        <v>48.4</v>
      </c>
      <c r="C14" s="158"/>
      <c r="D14" s="158"/>
      <c r="E14" s="158"/>
      <c r="F14" s="158"/>
      <c r="G14" s="158"/>
      <c r="I14" s="71"/>
      <c r="J14" s="71"/>
    </row>
    <row r="15" spans="1:10" ht="78.75" customHeight="1">
      <c r="A15" s="72" t="s">
        <v>58</v>
      </c>
      <c r="B15" s="182">
        <v>9</v>
      </c>
      <c r="C15" s="28"/>
      <c r="D15" s="28"/>
      <c r="E15" s="28"/>
      <c r="F15" s="27"/>
      <c r="G15" s="27"/>
      <c r="I15" s="71"/>
      <c r="J15" s="71"/>
    </row>
    <row r="16" spans="1:10" ht="52.5" customHeight="1">
      <c r="A16" s="72" t="s">
        <v>59</v>
      </c>
      <c r="B16" s="182">
        <v>9</v>
      </c>
      <c r="C16" s="28"/>
      <c r="D16" s="28"/>
      <c r="E16" s="28"/>
      <c r="F16" s="27"/>
      <c r="G16" s="27"/>
      <c r="I16" s="71"/>
      <c r="J16" s="71"/>
    </row>
    <row r="17" spans="1:10" ht="28.5">
      <c r="A17" s="72" t="s">
        <v>60</v>
      </c>
      <c r="B17" s="173">
        <f>(B14*G12)/(B15+B16)</f>
        <v>60.7</v>
      </c>
      <c r="C17" s="173"/>
      <c r="D17" s="173"/>
      <c r="E17" s="173"/>
      <c r="F17" s="89"/>
      <c r="G17" s="84"/>
      <c r="I17" s="71"/>
      <c r="J17" s="71"/>
    </row>
    <row r="18" spans="1:10" ht="28.5" customHeight="1">
      <c r="A18" s="212" t="s">
        <v>174</v>
      </c>
      <c r="B18" s="213"/>
      <c r="C18" s="213"/>
      <c r="D18" s="213"/>
      <c r="E18" s="213"/>
      <c r="F18" s="213"/>
      <c r="G18" s="213"/>
      <c r="H18" s="96">
        <f>'нагрузка,ФОТ'!G8/9</f>
        <v>2.67</v>
      </c>
      <c r="I18" s="73"/>
      <c r="J18" s="74"/>
    </row>
    <row r="19" spans="1:8" ht="30" customHeight="1">
      <c r="A19" s="215" t="s">
        <v>175</v>
      </c>
      <c r="B19" s="215"/>
      <c r="C19" s="215"/>
      <c r="D19" s="215"/>
      <c r="E19" s="215"/>
      <c r="F19" s="215"/>
      <c r="G19" s="215"/>
      <c r="H19" s="161">
        <f>(B17+C17)/H18</f>
        <v>22.73</v>
      </c>
    </row>
    <row r="20" ht="12.75"/>
    <row r="21" spans="1:7" s="13" customFormat="1" ht="21" customHeight="1">
      <c r="A21" s="151" t="s">
        <v>167</v>
      </c>
      <c r="B21" s="21"/>
      <c r="G21" s="151" t="s">
        <v>168</v>
      </c>
    </row>
  </sheetData>
  <sheetProtection/>
  <mergeCells count="18">
    <mergeCell ref="A19:G19"/>
    <mergeCell ref="B3:B4"/>
    <mergeCell ref="C3:C4"/>
    <mergeCell ref="G3:G4"/>
    <mergeCell ref="A1:H1"/>
    <mergeCell ref="A2:H2"/>
    <mergeCell ref="B9:F9"/>
    <mergeCell ref="E3:E4"/>
    <mergeCell ref="F3:F4"/>
    <mergeCell ref="A4:A5"/>
    <mergeCell ref="I3:J4"/>
    <mergeCell ref="I9:J9"/>
    <mergeCell ref="I10:J10"/>
    <mergeCell ref="D3:D4"/>
    <mergeCell ref="A13:A14"/>
    <mergeCell ref="A18:G18"/>
    <mergeCell ref="A11:F11"/>
    <mergeCell ref="A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2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6.140625" style="69" customWidth="1"/>
    <col min="2" max="2" width="13.8515625" style="69" customWidth="1"/>
    <col min="3" max="3" width="13.7109375" style="69" customWidth="1"/>
    <col min="4" max="4" width="15.421875" style="69" customWidth="1"/>
    <col min="5" max="5" width="18.00390625" style="69" customWidth="1"/>
    <col min="6" max="6" width="13.28125" style="69" customWidth="1"/>
    <col min="7" max="7" width="12.421875" style="69" customWidth="1"/>
    <col min="8" max="8" width="12.7109375" style="69" customWidth="1"/>
    <col min="9" max="9" width="24.57421875" style="69" customWidth="1"/>
    <col min="10" max="10" width="8.7109375" style="69" customWidth="1"/>
    <col min="11" max="16384" width="9.140625" style="69" customWidth="1"/>
  </cols>
  <sheetData>
    <row r="1" spans="1:8" ht="41.25" customHeight="1">
      <c r="A1" s="184" t="s">
        <v>134</v>
      </c>
      <c r="B1" s="184"/>
      <c r="C1" s="184"/>
      <c r="D1" s="184"/>
      <c r="E1" s="184"/>
      <c r="F1" s="184"/>
      <c r="G1" s="184"/>
      <c r="H1" s="184"/>
    </row>
    <row r="2" spans="1:10" ht="18.75">
      <c r="A2" s="208" t="s">
        <v>206</v>
      </c>
      <c r="B2" s="208"/>
      <c r="C2" s="208"/>
      <c r="D2" s="208"/>
      <c r="E2" s="208"/>
      <c r="F2" s="208"/>
      <c r="G2" s="208"/>
      <c r="H2" s="208"/>
      <c r="I2" s="26"/>
      <c r="J2" s="26"/>
    </row>
    <row r="3" spans="1:10" ht="15.75" customHeight="1">
      <c r="A3" s="27"/>
      <c r="B3" s="204"/>
      <c r="C3" s="209" t="s">
        <v>83</v>
      </c>
      <c r="D3" s="210"/>
      <c r="E3" s="210"/>
      <c r="F3" s="210"/>
      <c r="G3" s="204"/>
      <c r="I3" s="203"/>
      <c r="J3" s="203"/>
    </row>
    <row r="4" spans="1:10" ht="51" customHeight="1">
      <c r="A4" s="214" t="s">
        <v>135</v>
      </c>
      <c r="B4" s="204"/>
      <c r="C4" s="209"/>
      <c r="D4" s="211"/>
      <c r="E4" s="211"/>
      <c r="F4" s="211"/>
      <c r="G4" s="204"/>
      <c r="I4" s="203"/>
      <c r="J4" s="203"/>
    </row>
    <row r="5" spans="1:10" ht="13.5" customHeight="1">
      <c r="A5" s="214"/>
      <c r="B5" s="28"/>
      <c r="C5" s="28">
        <v>2022</v>
      </c>
      <c r="D5" s="28"/>
      <c r="E5" s="28"/>
      <c r="F5" s="28"/>
      <c r="G5" s="28"/>
      <c r="H5" s="55"/>
      <c r="I5" s="55"/>
      <c r="J5" s="55"/>
    </row>
    <row r="6" spans="1:10" ht="15.75">
      <c r="A6" s="30" t="s">
        <v>21</v>
      </c>
      <c r="B6" s="30"/>
      <c r="C6" s="30" t="s">
        <v>54</v>
      </c>
      <c r="D6" s="30"/>
      <c r="E6" s="30"/>
      <c r="F6" s="30"/>
      <c r="G6" s="30"/>
      <c r="H6" s="56"/>
      <c r="I6" s="56"/>
      <c r="J6" s="56"/>
    </row>
    <row r="7" spans="1:10" ht="15.75">
      <c r="A7" s="27">
        <v>2022</v>
      </c>
      <c r="B7" s="97"/>
      <c r="C7" s="97">
        <v>61938.7</v>
      </c>
      <c r="D7" s="97"/>
      <c r="E7" s="98"/>
      <c r="F7" s="98"/>
      <c r="G7" s="97"/>
      <c r="H7" s="57"/>
      <c r="I7" s="57"/>
      <c r="J7" s="57"/>
    </row>
    <row r="8" spans="1:10" ht="15.75">
      <c r="A8" s="29" t="s">
        <v>12</v>
      </c>
      <c r="B8" s="99">
        <f aca="true" t="shared" si="0" ref="B8:G8">SUM(B7:B7)</f>
        <v>0</v>
      </c>
      <c r="C8" s="99">
        <f t="shared" si="0"/>
        <v>61938.7</v>
      </c>
      <c r="D8" s="99">
        <f t="shared" si="0"/>
        <v>0</v>
      </c>
      <c r="E8" s="99">
        <f t="shared" si="0"/>
        <v>0</v>
      </c>
      <c r="F8" s="99">
        <f t="shared" si="0"/>
        <v>0</v>
      </c>
      <c r="G8" s="99">
        <f t="shared" si="0"/>
        <v>0</v>
      </c>
      <c r="H8" s="58"/>
      <c r="I8" s="58"/>
      <c r="J8" s="58"/>
    </row>
    <row r="9" spans="1:11" ht="34.5" customHeight="1">
      <c r="A9" s="29" t="s">
        <v>24</v>
      </c>
      <c r="B9" s="205"/>
      <c r="C9" s="206"/>
      <c r="D9" s="206"/>
      <c r="E9" s="206"/>
      <c r="F9" s="207"/>
      <c r="G9" s="67">
        <f>F7+E7+D7+C7+B7+G7</f>
        <v>61938.7</v>
      </c>
      <c r="I9" s="216"/>
      <c r="J9" s="217"/>
      <c r="K9" s="70"/>
    </row>
    <row r="10" spans="1:10" ht="31.5">
      <c r="A10" s="29" t="s">
        <v>210</v>
      </c>
      <c r="B10" s="100">
        <f>G9*1.045</f>
        <v>64725.9</v>
      </c>
      <c r="C10" s="27"/>
      <c r="D10" s="27"/>
      <c r="E10" s="27"/>
      <c r="F10" s="27"/>
      <c r="G10" s="27"/>
      <c r="I10" s="218"/>
      <c r="J10" s="218"/>
    </row>
    <row r="11" spans="1:10" ht="24" customHeight="1">
      <c r="A11" s="219" t="s">
        <v>55</v>
      </c>
      <c r="B11" s="220"/>
      <c r="C11" s="220"/>
      <c r="D11" s="220"/>
      <c r="E11" s="220"/>
      <c r="F11" s="221"/>
      <c r="G11" s="95">
        <v>4003.2</v>
      </c>
      <c r="I11" s="71"/>
      <c r="J11" s="71"/>
    </row>
    <row r="12" spans="1:10" ht="24" customHeight="1">
      <c r="A12" s="222" t="s">
        <v>56</v>
      </c>
      <c r="B12" s="223"/>
      <c r="C12" s="223"/>
      <c r="D12" s="223"/>
      <c r="E12" s="223"/>
      <c r="F12" s="224"/>
      <c r="G12" s="95">
        <f>B10/G11/12</f>
        <v>1.35</v>
      </c>
      <c r="I12" s="71"/>
      <c r="J12" s="71"/>
    </row>
    <row r="13" spans="1:10" ht="58.5" customHeight="1">
      <c r="A13" s="210" t="s">
        <v>57</v>
      </c>
      <c r="B13" s="160" t="s">
        <v>172</v>
      </c>
      <c r="C13" s="160"/>
      <c r="D13" s="160"/>
      <c r="E13" s="160"/>
      <c r="F13" s="160"/>
      <c r="G13" s="160"/>
      <c r="I13" s="71"/>
      <c r="J13" s="71"/>
    </row>
    <row r="14" spans="1:10" ht="21" customHeight="1">
      <c r="A14" s="211"/>
      <c r="B14" s="158">
        <v>48.4</v>
      </c>
      <c r="C14" s="158"/>
      <c r="D14" s="158"/>
      <c r="E14" s="158"/>
      <c r="F14" s="158"/>
      <c r="G14" s="158"/>
      <c r="I14" s="71"/>
      <c r="J14" s="71"/>
    </row>
    <row r="15" spans="1:10" ht="78.75" customHeight="1">
      <c r="A15" s="72" t="s">
        <v>58</v>
      </c>
      <c r="B15" s="182">
        <v>9</v>
      </c>
      <c r="C15" s="28"/>
      <c r="D15" s="28"/>
      <c r="E15" s="28"/>
      <c r="F15" s="27"/>
      <c r="G15" s="27"/>
      <c r="I15" s="71"/>
      <c r="J15" s="71"/>
    </row>
    <row r="16" spans="1:10" ht="52.5" customHeight="1">
      <c r="A16" s="72" t="s">
        <v>59</v>
      </c>
      <c r="B16" s="182">
        <v>9</v>
      </c>
      <c r="C16" s="28"/>
      <c r="D16" s="28"/>
      <c r="E16" s="28"/>
      <c r="F16" s="27"/>
      <c r="G16" s="27"/>
      <c r="I16" s="71"/>
      <c r="J16" s="71"/>
    </row>
    <row r="17" spans="1:10" ht="28.5">
      <c r="A17" s="72" t="s">
        <v>60</v>
      </c>
      <c r="B17" s="173">
        <f>(B14*G12)/(B15+B16)</f>
        <v>3.6</v>
      </c>
      <c r="C17" s="173"/>
      <c r="D17" s="173"/>
      <c r="E17" s="173"/>
      <c r="F17" s="89"/>
      <c r="G17" s="84"/>
      <c r="I17" s="71"/>
      <c r="J17" s="71"/>
    </row>
    <row r="18" spans="1:10" ht="28.5" customHeight="1">
      <c r="A18" s="212" t="s">
        <v>174</v>
      </c>
      <c r="B18" s="213"/>
      <c r="C18" s="213"/>
      <c r="D18" s="213"/>
      <c r="E18" s="213"/>
      <c r="F18" s="213"/>
      <c r="G18" s="213"/>
      <c r="H18" s="96">
        <f>'нагрузка,ФОТ'!G8/9</f>
        <v>2.67</v>
      </c>
      <c r="I18" s="73"/>
      <c r="J18" s="74"/>
    </row>
    <row r="19" spans="1:8" ht="30" customHeight="1">
      <c r="A19" s="215" t="s">
        <v>175</v>
      </c>
      <c r="B19" s="215"/>
      <c r="C19" s="215"/>
      <c r="D19" s="215"/>
      <c r="E19" s="215"/>
      <c r="F19" s="215"/>
      <c r="G19" s="215"/>
      <c r="H19" s="161">
        <f>B17/H18</f>
        <v>1.35</v>
      </c>
    </row>
    <row r="20" ht="12.75"/>
    <row r="21" spans="1:7" s="13" customFormat="1" ht="21" customHeight="1">
      <c r="A21" s="151" t="s">
        <v>167</v>
      </c>
      <c r="B21" s="21"/>
      <c r="G21" s="151" t="s">
        <v>168</v>
      </c>
    </row>
    <row r="22" s="13" customFormat="1" ht="18.75" customHeight="1">
      <c r="B22" s="21"/>
    </row>
    <row r="23" s="13" customFormat="1" ht="14.25" customHeight="1">
      <c r="B23" s="21"/>
    </row>
  </sheetData>
  <sheetProtection/>
  <mergeCells count="18">
    <mergeCell ref="A19:G19"/>
    <mergeCell ref="I10:J10"/>
    <mergeCell ref="A11:F11"/>
    <mergeCell ref="A1:H1"/>
    <mergeCell ref="A2:H2"/>
    <mergeCell ref="A13:A14"/>
    <mergeCell ref="A12:F12"/>
    <mergeCell ref="E3:E4"/>
    <mergeCell ref="A18:G18"/>
    <mergeCell ref="B3:B4"/>
    <mergeCell ref="B9:F9"/>
    <mergeCell ref="I9:J9"/>
    <mergeCell ref="I3:J4"/>
    <mergeCell ref="A4:A5"/>
    <mergeCell ref="G3:G4"/>
    <mergeCell ref="F3:F4"/>
    <mergeCell ref="C3:C4"/>
    <mergeCell ref="D3:D4"/>
  </mergeCells>
  <printOptions/>
  <pageMargins left="0.7480314960629921" right="0.31496062992125984" top="0.7874015748031497" bottom="0.35433070866141736" header="0.5118110236220472" footer="0.35433070866141736"/>
  <pageSetup fitToHeight="1" fitToWidth="1" horizontalDpi="600" verticalDpi="600" orientation="landscape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2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28125" style="101" customWidth="1"/>
    <col min="2" max="5" width="9.140625" style="101" customWidth="1"/>
    <col min="6" max="6" width="10.28125" style="101" customWidth="1"/>
    <col min="7" max="7" width="9.28125" style="101" bestFit="1" customWidth="1"/>
    <col min="8" max="8" width="9.140625" style="101" customWidth="1"/>
    <col min="9" max="9" width="9.57421875" style="101" bestFit="1" customWidth="1"/>
    <col min="10" max="10" width="11.7109375" style="101" customWidth="1"/>
    <col min="11" max="16384" width="9.140625" style="101" customWidth="1"/>
  </cols>
  <sheetData>
    <row r="1" spans="1:12" ht="18.75">
      <c r="A1" s="184" t="s">
        <v>136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3" customHeight="1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21.75" customHeight="1">
      <c r="A3" s="185" t="s">
        <v>203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s="102" customFormat="1" ht="15.75">
      <c r="A4" s="228" t="s">
        <v>138</v>
      </c>
      <c r="B4" s="228"/>
      <c r="C4" s="228"/>
      <c r="D4" s="228"/>
      <c r="E4" s="229" t="str">
        <f>'Комплектование групп'!B7</f>
        <v>Кружок «Предшкольная подготовка»</v>
      </c>
      <c r="F4" s="229"/>
      <c r="G4" s="229"/>
      <c r="H4" s="229"/>
      <c r="I4" s="229"/>
      <c r="J4" s="229"/>
      <c r="K4" s="101"/>
      <c r="L4" s="101"/>
    </row>
    <row r="5" spans="1:12" s="102" customFormat="1" ht="31.5">
      <c r="A5" s="162" t="s">
        <v>2</v>
      </c>
      <c r="B5" s="230" t="s">
        <v>148</v>
      </c>
      <c r="C5" s="231"/>
      <c r="D5" s="231"/>
      <c r="E5" s="231"/>
      <c r="F5" s="232"/>
      <c r="G5" s="162" t="s">
        <v>149</v>
      </c>
      <c r="H5" s="162" t="s">
        <v>150</v>
      </c>
      <c r="I5" s="162" t="s">
        <v>151</v>
      </c>
      <c r="J5" s="162" t="s">
        <v>152</v>
      </c>
      <c r="K5" s="180"/>
      <c r="L5" s="180"/>
    </row>
    <row r="6" spans="1:12" ht="18.75" customHeight="1">
      <c r="A6" s="178">
        <v>1</v>
      </c>
      <c r="B6" s="233" t="s">
        <v>178</v>
      </c>
      <c r="C6" s="234"/>
      <c r="D6" s="234"/>
      <c r="E6" s="234"/>
      <c r="F6" s="235"/>
      <c r="G6" s="162">
        <v>2</v>
      </c>
      <c r="H6" s="162" t="s">
        <v>179</v>
      </c>
      <c r="I6" s="163">
        <v>460</v>
      </c>
      <c r="J6" s="163">
        <f>G6*I6</f>
        <v>920</v>
      </c>
      <c r="K6" s="180"/>
      <c r="L6" s="180"/>
    </row>
    <row r="7" spans="1:12" ht="15.75" customHeight="1">
      <c r="A7" s="178">
        <v>2</v>
      </c>
      <c r="B7" s="233" t="s">
        <v>180</v>
      </c>
      <c r="C7" s="234"/>
      <c r="D7" s="234"/>
      <c r="E7" s="234"/>
      <c r="F7" s="235"/>
      <c r="G7" s="162">
        <v>10</v>
      </c>
      <c r="H7" s="162" t="s">
        <v>179</v>
      </c>
      <c r="I7" s="163">
        <v>180</v>
      </c>
      <c r="J7" s="163">
        <f aca="true" t="shared" si="0" ref="J7:J18">G7*I7</f>
        <v>1800</v>
      </c>
      <c r="K7" s="180"/>
      <c r="L7" s="180"/>
    </row>
    <row r="8" spans="1:12" ht="16.5" customHeight="1">
      <c r="A8" s="178">
        <v>3</v>
      </c>
      <c r="B8" s="233" t="s">
        <v>198</v>
      </c>
      <c r="C8" s="234"/>
      <c r="D8" s="234"/>
      <c r="E8" s="234"/>
      <c r="F8" s="235"/>
      <c r="G8" s="162">
        <v>10</v>
      </c>
      <c r="H8" s="162" t="s">
        <v>179</v>
      </c>
      <c r="I8" s="163">
        <v>100</v>
      </c>
      <c r="J8" s="163">
        <f t="shared" si="0"/>
        <v>1000</v>
      </c>
      <c r="K8" s="180"/>
      <c r="L8" s="180"/>
    </row>
    <row r="9" spans="1:10" ht="15.75" customHeight="1">
      <c r="A9" s="178">
        <v>4</v>
      </c>
      <c r="B9" s="233" t="s">
        <v>182</v>
      </c>
      <c r="C9" s="234"/>
      <c r="D9" s="234"/>
      <c r="E9" s="234"/>
      <c r="F9" s="235"/>
      <c r="G9" s="162">
        <v>8</v>
      </c>
      <c r="H9" s="162" t="s">
        <v>181</v>
      </c>
      <c r="I9" s="163">
        <v>70</v>
      </c>
      <c r="J9" s="163">
        <f>G9*I9</f>
        <v>560</v>
      </c>
    </row>
    <row r="10" spans="1:10" ht="18" customHeight="1">
      <c r="A10" s="178">
        <v>5</v>
      </c>
      <c r="B10" s="233" t="s">
        <v>183</v>
      </c>
      <c r="C10" s="234"/>
      <c r="D10" s="234"/>
      <c r="E10" s="234"/>
      <c r="F10" s="235"/>
      <c r="G10" s="162">
        <v>1</v>
      </c>
      <c r="H10" s="162" t="s">
        <v>184</v>
      </c>
      <c r="I10" s="163">
        <v>850</v>
      </c>
      <c r="J10" s="163">
        <f t="shared" si="0"/>
        <v>850</v>
      </c>
    </row>
    <row r="11" spans="1:10" ht="19.5" customHeight="1">
      <c r="A11" s="178">
        <v>6</v>
      </c>
      <c r="B11" s="233" t="s">
        <v>185</v>
      </c>
      <c r="C11" s="234"/>
      <c r="D11" s="234"/>
      <c r="E11" s="234"/>
      <c r="F11" s="235"/>
      <c r="G11" s="162">
        <v>10</v>
      </c>
      <c r="H11" s="162" t="s">
        <v>181</v>
      </c>
      <c r="I11" s="163">
        <v>100</v>
      </c>
      <c r="J11" s="163">
        <f t="shared" si="0"/>
        <v>1000</v>
      </c>
    </row>
    <row r="12" spans="1:10" ht="19.5" customHeight="1">
      <c r="A12" s="178">
        <v>7</v>
      </c>
      <c r="B12" s="233" t="s">
        <v>186</v>
      </c>
      <c r="C12" s="234"/>
      <c r="D12" s="234"/>
      <c r="E12" s="234"/>
      <c r="F12" s="235"/>
      <c r="G12" s="162">
        <v>10</v>
      </c>
      <c r="H12" s="162" t="s">
        <v>181</v>
      </c>
      <c r="I12" s="163">
        <v>100</v>
      </c>
      <c r="J12" s="163">
        <f t="shared" si="0"/>
        <v>1000</v>
      </c>
    </row>
    <row r="13" spans="1:10" ht="15" customHeight="1">
      <c r="A13" s="178">
        <v>8</v>
      </c>
      <c r="B13" s="233" t="s">
        <v>187</v>
      </c>
      <c r="C13" s="234"/>
      <c r="D13" s="234"/>
      <c r="E13" s="234"/>
      <c r="F13" s="235"/>
      <c r="G13" s="162">
        <v>10</v>
      </c>
      <c r="H13" s="162" t="s">
        <v>181</v>
      </c>
      <c r="I13" s="163">
        <v>50</v>
      </c>
      <c r="J13" s="163">
        <f t="shared" si="0"/>
        <v>500</v>
      </c>
    </row>
    <row r="14" spans="1:10" s="103" customFormat="1" ht="15" customHeight="1">
      <c r="A14" s="178">
        <v>9</v>
      </c>
      <c r="B14" s="233" t="s">
        <v>188</v>
      </c>
      <c r="C14" s="234"/>
      <c r="D14" s="234"/>
      <c r="E14" s="234"/>
      <c r="F14" s="235"/>
      <c r="G14" s="162">
        <v>4</v>
      </c>
      <c r="H14" s="162" t="s">
        <v>181</v>
      </c>
      <c r="I14" s="163">
        <v>180</v>
      </c>
      <c r="J14" s="163">
        <f t="shared" si="0"/>
        <v>720</v>
      </c>
    </row>
    <row r="15" spans="1:10" s="103" customFormat="1" ht="15.75" customHeight="1">
      <c r="A15" s="178">
        <v>10</v>
      </c>
      <c r="B15" s="233" t="s">
        <v>189</v>
      </c>
      <c r="C15" s="234"/>
      <c r="D15" s="234"/>
      <c r="E15" s="234"/>
      <c r="F15" s="235"/>
      <c r="G15" s="162">
        <v>4</v>
      </c>
      <c r="H15" s="162" t="s">
        <v>181</v>
      </c>
      <c r="I15" s="163">
        <v>230</v>
      </c>
      <c r="J15" s="163">
        <f t="shared" si="0"/>
        <v>920</v>
      </c>
    </row>
    <row r="16" spans="1:10" s="103" customFormat="1" ht="15.75" customHeight="1">
      <c r="A16" s="178">
        <v>11</v>
      </c>
      <c r="B16" s="233" t="s">
        <v>190</v>
      </c>
      <c r="C16" s="234"/>
      <c r="D16" s="234"/>
      <c r="E16" s="234"/>
      <c r="F16" s="235"/>
      <c r="G16" s="162">
        <v>30</v>
      </c>
      <c r="H16" s="162" t="s">
        <v>181</v>
      </c>
      <c r="I16" s="163">
        <v>15</v>
      </c>
      <c r="J16" s="163">
        <f t="shared" si="0"/>
        <v>450</v>
      </c>
    </row>
    <row r="17" spans="1:10" ht="15.75" customHeight="1">
      <c r="A17" s="178">
        <v>12</v>
      </c>
      <c r="B17" s="233" t="s">
        <v>191</v>
      </c>
      <c r="C17" s="234"/>
      <c r="D17" s="234"/>
      <c r="E17" s="234"/>
      <c r="F17" s="235"/>
      <c r="G17" s="162">
        <v>4</v>
      </c>
      <c r="H17" s="162" t="s">
        <v>192</v>
      </c>
      <c r="I17" s="163">
        <v>80</v>
      </c>
      <c r="J17" s="163">
        <f t="shared" si="0"/>
        <v>320</v>
      </c>
    </row>
    <row r="18" spans="1:10" ht="15" customHeight="1">
      <c r="A18" s="178">
        <v>13</v>
      </c>
      <c r="B18" s="233" t="s">
        <v>193</v>
      </c>
      <c r="C18" s="234"/>
      <c r="D18" s="234"/>
      <c r="E18" s="234"/>
      <c r="F18" s="235"/>
      <c r="G18" s="162">
        <v>2</v>
      </c>
      <c r="H18" s="162" t="s">
        <v>192</v>
      </c>
      <c r="I18" s="163">
        <v>280</v>
      </c>
      <c r="J18" s="163">
        <f t="shared" si="0"/>
        <v>560</v>
      </c>
    </row>
    <row r="19" spans="1:10" ht="15.75">
      <c r="A19" s="178">
        <v>14</v>
      </c>
      <c r="B19" s="233" t="s">
        <v>194</v>
      </c>
      <c r="C19" s="234"/>
      <c r="D19" s="234"/>
      <c r="E19" s="234"/>
      <c r="F19" s="235"/>
      <c r="G19" s="162">
        <v>4</v>
      </c>
      <c r="H19" s="162" t="s">
        <v>192</v>
      </c>
      <c r="I19" s="163">
        <v>50</v>
      </c>
      <c r="J19" s="163">
        <f>G19*I19</f>
        <v>200</v>
      </c>
    </row>
    <row r="20" spans="1:10" ht="15.75">
      <c r="A20" s="225" t="s">
        <v>120</v>
      </c>
      <c r="B20" s="226"/>
      <c r="C20" s="226"/>
      <c r="D20" s="226"/>
      <c r="E20" s="226"/>
      <c r="F20" s="227"/>
      <c r="G20" s="164">
        <f>SUM(G6:G19)</f>
        <v>109</v>
      </c>
      <c r="H20" s="104"/>
      <c r="I20" s="105" t="s">
        <v>106</v>
      </c>
      <c r="J20" s="164">
        <f>SUM(J6:J19)</f>
        <v>10800</v>
      </c>
    </row>
    <row r="21" spans="1:12" ht="15.75">
      <c r="A21" s="106"/>
      <c r="B21" s="107"/>
      <c r="C21" s="107"/>
      <c r="D21" s="107"/>
      <c r="E21" s="107"/>
      <c r="F21" s="107"/>
      <c r="G21" s="106"/>
      <c r="H21" s="108"/>
      <c r="I21" s="151"/>
      <c r="J21" s="152"/>
      <c r="K21" s="151"/>
      <c r="L21" s="151"/>
    </row>
    <row r="22" spans="1:12" ht="15.75">
      <c r="A22" s="106"/>
      <c r="B22" s="107"/>
      <c r="C22" s="107"/>
      <c r="D22" s="107"/>
      <c r="E22" s="107"/>
      <c r="F22" s="107"/>
      <c r="G22" s="106"/>
      <c r="H22" s="108"/>
      <c r="I22" s="151"/>
      <c r="J22" s="152"/>
      <c r="K22" s="151"/>
      <c r="L22" s="151"/>
    </row>
    <row r="23" spans="1:12" ht="15.75">
      <c r="A23" s="106"/>
      <c r="B23" s="107"/>
      <c r="C23" s="107"/>
      <c r="D23" s="107"/>
      <c r="E23" s="107"/>
      <c r="F23" s="107"/>
      <c r="G23" s="106"/>
      <c r="H23" s="108"/>
      <c r="I23" s="151"/>
      <c r="J23" s="152"/>
      <c r="K23" s="151"/>
      <c r="L23" s="151"/>
    </row>
    <row r="24" spans="1:12" ht="15.75">
      <c r="A24" s="151" t="s">
        <v>167</v>
      </c>
      <c r="B24" s="21"/>
      <c r="C24" s="13"/>
      <c r="D24" s="13"/>
      <c r="I24" s="151" t="s">
        <v>168</v>
      </c>
      <c r="K24" s="63"/>
      <c r="L24" s="63"/>
    </row>
    <row r="25" spans="1:12" ht="15.75">
      <c r="A25" s="106"/>
      <c r="B25" s="107"/>
      <c r="C25" s="107"/>
      <c r="D25" s="107"/>
      <c r="E25" s="107"/>
      <c r="F25" s="107"/>
      <c r="G25" s="13"/>
      <c r="H25" s="20"/>
      <c r="I25" s="13"/>
      <c r="J25" s="13"/>
      <c r="K25" s="103"/>
      <c r="L25" s="103"/>
    </row>
  </sheetData>
  <sheetProtection/>
  <mergeCells count="21">
    <mergeCell ref="B7:F7"/>
    <mergeCell ref="B12:F12"/>
    <mergeCell ref="B6:F6"/>
    <mergeCell ref="B19:F19"/>
    <mergeCell ref="B13:F13"/>
    <mergeCell ref="B11:F11"/>
    <mergeCell ref="B10:F10"/>
    <mergeCell ref="B15:F15"/>
    <mergeCell ref="B8:F8"/>
    <mergeCell ref="B9:F9"/>
    <mergeCell ref="B14:F14"/>
    <mergeCell ref="A20:F20"/>
    <mergeCell ref="A1:L1"/>
    <mergeCell ref="A2:L2"/>
    <mergeCell ref="A3:L3"/>
    <mergeCell ref="A4:D4"/>
    <mergeCell ref="E4:J4"/>
    <mergeCell ref="B5:F5"/>
    <mergeCell ref="B16:F16"/>
    <mergeCell ref="B17:F17"/>
    <mergeCell ref="B18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"/>
  <sheetViews>
    <sheetView zoomScalePageLayoutView="0" workbookViewId="0" topLeftCell="A25">
      <selection activeCell="C30" sqref="C30"/>
    </sheetView>
  </sheetViews>
  <sheetFormatPr defaultColWidth="9.140625" defaultRowHeight="12.75"/>
  <cols>
    <col min="1" max="1" width="39.57421875" style="37" customWidth="1"/>
    <col min="2" max="2" width="17.421875" style="37" customWidth="1"/>
    <col min="3" max="3" width="19.28125" style="37" customWidth="1"/>
    <col min="4" max="4" width="13.7109375" style="37" customWidth="1"/>
    <col min="5" max="5" width="11.421875" style="37" customWidth="1"/>
    <col min="6" max="6" width="16.57421875" style="37" customWidth="1"/>
    <col min="7" max="16384" width="9.140625" style="37" customWidth="1"/>
  </cols>
  <sheetData>
    <row r="1" spans="1:6" s="13" customFormat="1" ht="18.75">
      <c r="A1" s="238" t="s">
        <v>140</v>
      </c>
      <c r="B1" s="238"/>
      <c r="C1" s="238"/>
      <c r="D1" s="238"/>
      <c r="E1" s="151"/>
      <c r="F1" s="151"/>
    </row>
    <row r="2" spans="1:6" s="13" customFormat="1" ht="18.75" customHeight="1">
      <c r="A2" s="184" t="s">
        <v>213</v>
      </c>
      <c r="B2" s="184"/>
      <c r="C2" s="184"/>
      <c r="D2" s="184"/>
      <c r="E2" s="151"/>
      <c r="F2" s="151"/>
    </row>
    <row r="3" spans="1:6" s="13" customFormat="1" ht="18.75">
      <c r="A3" s="239" t="s">
        <v>170</v>
      </c>
      <c r="B3" s="239"/>
      <c r="C3" s="239"/>
      <c r="D3" s="239"/>
      <c r="E3" s="151"/>
      <c r="F3" s="151"/>
    </row>
    <row r="4" spans="1:4" ht="26.25" customHeight="1">
      <c r="A4" s="38"/>
      <c r="B4" s="38"/>
      <c r="C4" s="181"/>
      <c r="D4" s="236" t="s">
        <v>0</v>
      </c>
    </row>
    <row r="5" spans="1:4" ht="81" customHeight="1">
      <c r="A5" s="38" t="s">
        <v>4</v>
      </c>
      <c r="B5" s="77" t="s">
        <v>2</v>
      </c>
      <c r="C5" s="153" t="str">
        <f>'Комплектование групп'!B7</f>
        <v>Кружок «Предшкольная подготовка»</v>
      </c>
      <c r="D5" s="237"/>
    </row>
    <row r="6" spans="1:4" ht="19.5" customHeight="1">
      <c r="A6" s="39" t="s">
        <v>16</v>
      </c>
      <c r="B6" s="78">
        <v>1</v>
      </c>
      <c r="C6" s="40">
        <f>SUM(C7:C11)</f>
        <v>47567.58</v>
      </c>
      <c r="D6" s="40">
        <f>SUM(D7:D11)</f>
        <v>47567.58</v>
      </c>
    </row>
    <row r="7" spans="1:4" ht="42.75" customHeight="1">
      <c r="A7" s="41" t="s">
        <v>17</v>
      </c>
      <c r="B7" s="79">
        <v>2</v>
      </c>
      <c r="C7" s="38">
        <f>'нагрузка,ФОТ'!L8</f>
        <v>24359.52</v>
      </c>
      <c r="D7" s="38">
        <f aca="true" t="shared" si="0" ref="D7:D12">C7</f>
        <v>24359.52</v>
      </c>
    </row>
    <row r="8" spans="1:4" ht="66.75" customHeight="1">
      <c r="A8" s="41" t="s">
        <v>129</v>
      </c>
      <c r="B8" s="82" t="s">
        <v>196</v>
      </c>
      <c r="C8" s="38">
        <f>C7/263.7*42</f>
        <v>3879.79</v>
      </c>
      <c r="D8" s="38">
        <f t="shared" si="0"/>
        <v>3879.79</v>
      </c>
    </row>
    <row r="9" spans="1:4" ht="24.75" customHeight="1">
      <c r="A9" s="41" t="s">
        <v>84</v>
      </c>
      <c r="B9" s="79">
        <v>3</v>
      </c>
      <c r="C9" s="38">
        <f>(C7+C8)*0.302</f>
        <v>8528.27</v>
      </c>
      <c r="D9" s="38">
        <f t="shared" si="0"/>
        <v>8528.27</v>
      </c>
    </row>
    <row r="10" spans="1:4" ht="32.25" customHeight="1">
      <c r="A10" s="41" t="s">
        <v>25</v>
      </c>
      <c r="B10" s="79">
        <v>4</v>
      </c>
      <c r="C10" s="38">
        <f>'расходные материалы'!J20</f>
        <v>10800</v>
      </c>
      <c r="D10" s="38">
        <f t="shared" si="0"/>
        <v>10800</v>
      </c>
    </row>
    <row r="11" spans="1:4" ht="32.25" customHeight="1">
      <c r="A11" s="41" t="s">
        <v>162</v>
      </c>
      <c r="B11" s="79"/>
      <c r="C11" s="38"/>
      <c r="D11" s="38">
        <f t="shared" si="0"/>
        <v>0</v>
      </c>
    </row>
    <row r="12" spans="1:4" ht="27" customHeight="1">
      <c r="A12" s="39" t="s">
        <v>18</v>
      </c>
      <c r="B12" s="78">
        <v>5</v>
      </c>
      <c r="C12" s="40">
        <f>C13+C14+C15+C16+C21+C22+C23</f>
        <v>40211.17</v>
      </c>
      <c r="D12" s="40">
        <f t="shared" si="0"/>
        <v>40211.17</v>
      </c>
    </row>
    <row r="13" spans="1:4" ht="91.5" customHeight="1">
      <c r="A13" s="39" t="s">
        <v>176</v>
      </c>
      <c r="B13" s="83" t="s">
        <v>73</v>
      </c>
      <c r="C13" s="38">
        <f>D13/'нагрузка,ФОТ'!G9*'нагрузка,ФОТ'!G8</f>
        <v>23491.71</v>
      </c>
      <c r="D13" s="40">
        <f>'з.плата АУП'!J9</f>
        <v>23491.71</v>
      </c>
    </row>
    <row r="14" spans="1:4" ht="45.75" customHeight="1">
      <c r="A14" s="41" t="s">
        <v>19</v>
      </c>
      <c r="B14" s="79">
        <v>7</v>
      </c>
      <c r="C14" s="38">
        <v>0</v>
      </c>
      <c r="D14" s="38">
        <f>'з.плата АУП'!J19</f>
        <v>0</v>
      </c>
    </row>
    <row r="15" spans="1:4" ht="24" customHeight="1">
      <c r="A15" s="41" t="s">
        <v>85</v>
      </c>
      <c r="B15" s="79">
        <v>8</v>
      </c>
      <c r="C15" s="38">
        <f>(C14+C13)*0.302</f>
        <v>7094.5</v>
      </c>
      <c r="D15" s="38">
        <f>(D14+D13)*0.302</f>
        <v>7094.5</v>
      </c>
    </row>
    <row r="16" spans="1:4" ht="83.25" customHeight="1">
      <c r="A16" s="41" t="s">
        <v>121</v>
      </c>
      <c r="B16" s="82" t="s">
        <v>71</v>
      </c>
      <c r="C16" s="38">
        <f>('канализация ЖБО'!H19+электроснабжение!H19+отопление!H19+водоснабжение!H19)*'Комплектование групп'!C7*'нагрузка,ФОТ'!G8</f>
        <v>9624.96</v>
      </c>
      <c r="D16" s="38">
        <f aca="true" t="shared" si="1" ref="D16:D22">C16</f>
        <v>9624.96</v>
      </c>
    </row>
    <row r="17" spans="1:4" s="113" customFormat="1" ht="15" customHeight="1">
      <c r="A17" s="111" t="s">
        <v>53</v>
      </c>
      <c r="B17" s="82"/>
      <c r="C17" s="112">
        <f>отопление!H19*'Комплектование групп'!C7*'нагрузка,ФОТ'!G8</f>
        <v>4909.68</v>
      </c>
      <c r="D17" s="38">
        <f t="shared" si="1"/>
        <v>4909.68</v>
      </c>
    </row>
    <row r="18" spans="1:4" s="113" customFormat="1" ht="17.25" customHeight="1">
      <c r="A18" s="111" t="s">
        <v>88</v>
      </c>
      <c r="B18" s="82"/>
      <c r="C18" s="112">
        <f>электроснабжение!H19*'Комплектование групп'!C7*'нагрузка,ФОТ'!G8</f>
        <v>3890.16</v>
      </c>
      <c r="D18" s="38">
        <f t="shared" si="1"/>
        <v>3890.16</v>
      </c>
    </row>
    <row r="19" spans="1:4" s="113" customFormat="1" ht="16.5" customHeight="1">
      <c r="A19" s="111" t="s">
        <v>89</v>
      </c>
      <c r="B19" s="82"/>
      <c r="C19" s="112">
        <f>водоснабжение!H19*'Комплектование групп'!C7*'нагрузка,ФОТ'!G8</f>
        <v>291.6</v>
      </c>
      <c r="D19" s="38">
        <f t="shared" si="1"/>
        <v>291.6</v>
      </c>
    </row>
    <row r="20" spans="1:4" s="113" customFormat="1" ht="15.75" customHeight="1">
      <c r="A20" s="111" t="s">
        <v>90</v>
      </c>
      <c r="B20" s="82"/>
      <c r="C20" s="112">
        <f>'канализация ЖБО'!H19*'Комплектование групп'!C7*'нагрузка,ФОТ'!G8</f>
        <v>533.52</v>
      </c>
      <c r="D20" s="38">
        <f t="shared" si="1"/>
        <v>533.52</v>
      </c>
    </row>
    <row r="21" spans="1:4" ht="35.25" customHeight="1">
      <c r="A21" s="41" t="s">
        <v>25</v>
      </c>
      <c r="B21" s="79">
        <v>10</v>
      </c>
      <c r="C21" s="38">
        <v>0</v>
      </c>
      <c r="D21" s="38">
        <f t="shared" si="1"/>
        <v>0</v>
      </c>
    </row>
    <row r="22" spans="1:4" ht="35.25" customHeight="1">
      <c r="A22" s="41" t="s">
        <v>61</v>
      </c>
      <c r="B22" s="79">
        <v>11</v>
      </c>
      <c r="C22" s="38">
        <v>0</v>
      </c>
      <c r="D22" s="38">
        <f t="shared" si="1"/>
        <v>0</v>
      </c>
    </row>
    <row r="23" spans="1:4" ht="25.5" customHeight="1">
      <c r="A23" s="42" t="s">
        <v>40</v>
      </c>
      <c r="B23" s="80">
        <v>12</v>
      </c>
      <c r="C23" s="38"/>
      <c r="D23" s="38"/>
    </row>
    <row r="24" spans="1:4" ht="36.75" customHeight="1">
      <c r="A24" s="39" t="s">
        <v>35</v>
      </c>
      <c r="B24" s="78" t="s">
        <v>67</v>
      </c>
      <c r="C24" s="40">
        <f>C12+C6</f>
        <v>87778.75</v>
      </c>
      <c r="D24" s="40">
        <f>C24</f>
        <v>87778.75</v>
      </c>
    </row>
    <row r="25" spans="1:4" ht="39" customHeight="1">
      <c r="A25" s="43" t="s">
        <v>86</v>
      </c>
      <c r="B25" s="79">
        <v>14</v>
      </c>
      <c r="C25" s="44">
        <v>0.11</v>
      </c>
      <c r="D25" s="38" t="s">
        <v>34</v>
      </c>
    </row>
    <row r="26" spans="1:4" ht="44.25" customHeight="1">
      <c r="A26" s="45" t="s">
        <v>66</v>
      </c>
      <c r="B26" s="78" t="s">
        <v>124</v>
      </c>
      <c r="C26" s="40">
        <f>C24*C25</f>
        <v>9655.66</v>
      </c>
      <c r="D26" s="40">
        <f>C26</f>
        <v>9655.66</v>
      </c>
    </row>
    <row r="27" spans="1:4" ht="25.5" customHeight="1">
      <c r="A27" s="45" t="s">
        <v>36</v>
      </c>
      <c r="B27" s="78" t="s">
        <v>68</v>
      </c>
      <c r="C27" s="40">
        <f>C24+C26</f>
        <v>97434.41</v>
      </c>
      <c r="D27" s="40">
        <f>C27</f>
        <v>97434.41</v>
      </c>
    </row>
    <row r="28" spans="1:4" ht="59.25" customHeight="1">
      <c r="A28" s="41" t="s">
        <v>37</v>
      </c>
      <c r="B28" s="82" t="s">
        <v>146</v>
      </c>
      <c r="C28" s="38">
        <f>'нагрузка,ФОТ'!G8*'Комплектование групп'!C7</f>
        <v>216</v>
      </c>
      <c r="D28" s="40">
        <f>C28</f>
        <v>216</v>
      </c>
    </row>
    <row r="29" spans="1:4" ht="21.75" customHeight="1">
      <c r="A29" s="39" t="s">
        <v>20</v>
      </c>
      <c r="B29" s="78" t="s">
        <v>69</v>
      </c>
      <c r="C29" s="40">
        <f>C27/C28</f>
        <v>451.09</v>
      </c>
      <c r="D29" s="40" t="s">
        <v>34</v>
      </c>
    </row>
    <row r="30" spans="1:4" ht="74.25" customHeight="1">
      <c r="A30" s="39" t="s">
        <v>62</v>
      </c>
      <c r="B30" s="83" t="s">
        <v>70</v>
      </c>
      <c r="C30" s="40">
        <f>C29/60*20</f>
        <v>150.36</v>
      </c>
      <c r="D30" s="40"/>
    </row>
    <row r="31" ht="15.75">
      <c r="B31" s="81"/>
    </row>
    <row r="32" spans="1:4" ht="31.5">
      <c r="A32" s="41" t="s">
        <v>122</v>
      </c>
      <c r="B32" s="79"/>
      <c r="C32" s="38">
        <f>C13/C28</f>
        <v>108.76</v>
      </c>
      <c r="D32" s="38"/>
    </row>
    <row r="33" spans="1:4" ht="63">
      <c r="A33" s="41" t="s">
        <v>123</v>
      </c>
      <c r="B33" s="38"/>
      <c r="C33" s="38">
        <f>C7/C28/60*20</f>
        <v>37.59</v>
      </c>
      <c r="D33" s="38"/>
    </row>
    <row r="34" spans="1:3" s="13" customFormat="1" ht="21" customHeight="1">
      <c r="A34" s="166" t="s">
        <v>125</v>
      </c>
      <c r="B34" s="154">
        <f>D24</f>
        <v>87778.75</v>
      </c>
      <c r="C34" s="155">
        <v>1</v>
      </c>
    </row>
    <row r="35" spans="1:3" s="13" customFormat="1" ht="12.75">
      <c r="A35" s="166" t="s">
        <v>126</v>
      </c>
      <c r="B35" s="154">
        <f>D7+D8+D9+D13+D14+D15</f>
        <v>67353.79</v>
      </c>
      <c r="C35" s="156">
        <f>B35/B34*100</f>
        <v>76.7</v>
      </c>
    </row>
    <row r="36" spans="1:3" s="13" customFormat="1" ht="12.75">
      <c r="A36" s="166" t="s">
        <v>127</v>
      </c>
      <c r="B36" s="154">
        <f>D16</f>
        <v>9624.96</v>
      </c>
      <c r="C36" s="156">
        <f>B36/B34*100</f>
        <v>11</v>
      </c>
    </row>
    <row r="37" spans="1:3" s="13" customFormat="1" ht="12.75">
      <c r="A37" s="166" t="s">
        <v>128</v>
      </c>
      <c r="B37" s="154">
        <f>D10</f>
        <v>10800</v>
      </c>
      <c r="C37" s="156">
        <f>B37/B34*100</f>
        <v>12.3</v>
      </c>
    </row>
    <row r="38" spans="1:3" s="13" customFormat="1" ht="18.75" customHeight="1">
      <c r="A38" s="166" t="s">
        <v>139</v>
      </c>
      <c r="B38" s="154">
        <f>D26</f>
        <v>9655.66</v>
      </c>
      <c r="C38" s="156">
        <f>B38/B34*100</f>
        <v>11</v>
      </c>
    </row>
    <row r="39" s="13" customFormat="1" ht="14.25" customHeight="1">
      <c r="B39" s="21"/>
    </row>
    <row r="41" spans="1:6" ht="15.75">
      <c r="A41" s="151" t="s">
        <v>167</v>
      </c>
      <c r="B41" s="21"/>
      <c r="C41" s="13"/>
      <c r="D41" s="101"/>
      <c r="F41" s="101"/>
    </row>
  </sheetData>
  <sheetProtection/>
  <mergeCells count="4">
    <mergeCell ref="D4:D5"/>
    <mergeCell ref="A1:D1"/>
    <mergeCell ref="A2:D2"/>
    <mergeCell ref="A3:D3"/>
  </mergeCells>
  <printOptions horizontalCentered="1"/>
  <pageMargins left="0.5511811023622047" right="0.3937007874015748" top="0.7874015748031497" bottom="0.2755905511811024" header="0.1968503937007874" footer="0.5118110236220472"/>
  <pageSetup fitToHeight="2" fitToWidth="1" horizontalDpi="600" verticalDpi="600" orientation="landscape" paperSize="9" scale="7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SNAdmin</cp:lastModifiedBy>
  <cp:lastPrinted>2021-09-22T16:43:56Z</cp:lastPrinted>
  <dcterms:created xsi:type="dcterms:W3CDTF">1996-10-08T23:32:33Z</dcterms:created>
  <dcterms:modified xsi:type="dcterms:W3CDTF">2023-10-17T09:29:54Z</dcterms:modified>
  <cp:category/>
  <cp:version/>
  <cp:contentType/>
  <cp:contentStatus/>
</cp:coreProperties>
</file>